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blackford\Downloads\"/>
    </mc:Choice>
  </mc:AlternateContent>
  <xr:revisionPtr revIDLastSave="0" documentId="13_ncr:1_{664B2F19-AB43-4849-8B0B-13FAFFDC19F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6" sheetId="1" r:id="rId1"/>
    <sheet name="2026-Payroll" sheetId="4" r:id="rId2"/>
    <sheet name="2025-Payroll" sheetId="2" r:id="rId3"/>
    <sheet name="RentalProperty" sheetId="5" r:id="rId4"/>
  </sheets>
  <definedNames>
    <definedName name="_xlnm.Print_Area" localSheetId="2">'2025-Payroll'!$A$1:$Q$44</definedName>
    <definedName name="_xlnm.Print_Area" localSheetId="0">'2026'!$A$1:$T$133</definedName>
    <definedName name="_xlnm.Print_Area" localSheetId="1">'2026-Payroll'!$A$1:$Q$44</definedName>
    <definedName name="_xlnm.Print_Titles" localSheetId="2">'2025-Payroll'!$1:$1</definedName>
    <definedName name="_xlnm.Print_Titles" localSheetId="0">'2026'!$2:$5</definedName>
    <definedName name="_xlnm.Print_Titles" localSheetId="1">'2026-Payroll'!$1:$1</definedName>
    <definedName name="QB_COLUMN_59200" localSheetId="0" hidden="1">'2026'!#REF!</definedName>
    <definedName name="QB_COLUMN_76210" localSheetId="0" hidden="1">'2026'!$O$5</definedName>
    <definedName name="QB_DATA_0" localSheetId="0" hidden="1">'2026'!$10:$10,'2026'!#REF!,'2026'!$12:$12,'2026'!$13:$13,'2026'!$14:$14,'2026'!$20:$20,'2026'!$21:$21,'2026'!$22:$22,'2026'!$23:$23,'2026'!$24:$24,'2026'!$25:$25,'2026'!$26:$26,'2026'!$27:$27,'2026'!$28:$28,'2026'!$29:$29,'2026'!$30:$30</definedName>
    <definedName name="QB_DATA_1" localSheetId="0" hidden="1">'2026'!$31:$31,'2026'!$32:$32,'2026'!$33:$33,'2026'!#REF!,'2026'!$34:$34,'2026'!$35:$35,'2026'!$38:$38,'2026'!$39:$39,'2026'!$40:$40,'2026'!$41:$41,'2026'!$42:$42,'2026'!$43:$43,'2026'!$44:$44,'2026'!$45:$45,'2026'!$48:$48,'2026'!$49:$49</definedName>
    <definedName name="QB_DATA_2" localSheetId="0" hidden="1">'2026'!$50:$50,'2026'!$53:$53,'2026'!$54:$54,'2026'!#REF!,'2026'!$55:$55,'2026'!$56:$56,'2026'!$58:$58,'2026'!$59:$59,'2026'!$63:$63,'2026'!$64:$64,'2026'!$65:$65,'2026'!$70:$70,'2026'!#REF!,'2026'!#REF!,'2026'!#REF!,'2026'!#REF!</definedName>
    <definedName name="QB_DATA_3" localSheetId="0" hidden="1">'2026'!$76:$76,'2026'!#REF!,'2026'!$78:$78,'2026'!$82:$82,'2026'!$83:$83,'2026'!$84:$84,'2026'!#REF!,'2026'!$85:$85,'2026'!$86:$86,'2026'!$87:$87,'2026'!#REF!,'2026'!$90:$90,'2026'!$92:$92,'2026'!$93:$93,'2026'!$96:$96,'2026'!$97:$97</definedName>
    <definedName name="QB_DATA_4" localSheetId="0" hidden="1">'2026'!$98:$98,'2026'!#REF!,'2026'!#REF!,'2026'!#REF!,'2026'!#REF!,'2026'!#REF!,'2026'!$102:$102,'2026'!$104:$104,'2026'!$105:$105,'2026'!#REF!,'2026'!#REF!,'2026'!$106:$106,'2026'!$107:$107,'2026'!$108:$108,'2026'!$109:$109,'2026'!#REF!</definedName>
    <definedName name="QB_DATA_5" localSheetId="0" hidden="1">'2026'!$113:$113,'2026'!$114:$114,'2026'!$115:$115,'2026'!$116:$116,'2026'!$117:$117,'2026'!$118:$118,'2026'!$119:$119,'2026'!$122:$122,'2026'!#REF!,'2026'!$123:$123,'2026'!#REF!</definedName>
    <definedName name="QB_FORMULA_0" localSheetId="0" hidden="1">'2026'!#REF!,'2026'!$O$15,'2026'!#REF!,'2026'!$O$16,'2026'!#REF!,'2026'!#REF!,'2026'!#REF!,'2026'!$O$36,'2026'!#REF!,'2026'!$O$46,'2026'!#REF!,'2026'!$O$51,'2026'!#REF!,'2026'!$O$61,'2026'!#REF!,'2026'!$O$66</definedName>
    <definedName name="QB_FORMULA_1" localSheetId="0" hidden="1">'2026'!#REF!,'2026'!$O$67,'2026'!#REF!,'2026'!$O$71,'2026'!#REF!,'2026'!$O$80,'2026'!#REF!,'2026'!$O$88,'2026'!#REF!,'2026'!$O$100,'2026'!#REF!,'2026'!$O$111,'2026'!#REF!,'2026'!$O$120,'2026'!#REF!,'2026'!$O$125</definedName>
    <definedName name="QB_FORMULA_2" localSheetId="0" hidden="1">'2026'!#REF!,'2026'!$O$126,'2026'!#REF!,'2026'!$O$128,'2026'!#REF!,'2026'!$O$129,'2026'!#REF!,'2026'!#REF!</definedName>
    <definedName name="QB_ROW_106050" localSheetId="0" hidden="1">'2026'!$F$75</definedName>
    <definedName name="QB_ROW_106350" localSheetId="0" hidden="1">'2026'!$F$80</definedName>
    <definedName name="QB_ROW_107260" localSheetId="0" hidden="1">'2026'!$G$76</definedName>
    <definedName name="QB_ROW_108260" localSheetId="0" hidden="1">'2026'!#REF!</definedName>
    <definedName name="QB_ROW_109260" localSheetId="0" hidden="1">'2026'!$G$78</definedName>
    <definedName name="QB_ROW_110050" localSheetId="0" hidden="1">'2026'!$F$81</definedName>
    <definedName name="QB_ROW_110350" localSheetId="0" hidden="1">'2026'!$F$88</definedName>
    <definedName name="QB_ROW_111260" localSheetId="0" hidden="1">'2026'!$G$82</definedName>
    <definedName name="QB_ROW_112260" localSheetId="0" hidden="1">'2026'!$G$83</definedName>
    <definedName name="QB_ROW_113260" localSheetId="0" hidden="1">'2026'!$G$84</definedName>
    <definedName name="QB_ROW_116260" localSheetId="0" hidden="1">'2026'!#REF!</definedName>
    <definedName name="QB_ROW_117260" localSheetId="0" hidden="1">'2026'!$G$86</definedName>
    <definedName name="QB_ROW_118260" localSheetId="0" hidden="1">'2026'!#REF!</definedName>
    <definedName name="QB_ROW_120260" localSheetId="0" hidden="1">'2026'!$G$92</definedName>
    <definedName name="QB_ROW_121050" localSheetId="0" hidden="1">'2026'!$F$89</definedName>
    <definedName name="QB_ROW_121350" localSheetId="0" hidden="1">'2026'!$F$100</definedName>
    <definedName name="QB_ROW_123260" localSheetId="0" hidden="1">'2026'!$G$93</definedName>
    <definedName name="QB_ROW_124260" localSheetId="0" hidden="1">'2026'!$G$96</definedName>
    <definedName name="QB_ROW_126260" localSheetId="0" hidden="1">'2026'!#REF!</definedName>
    <definedName name="QB_ROW_127260" localSheetId="0" hidden="1">'2026'!#REF!</definedName>
    <definedName name="QB_ROW_128260" localSheetId="0" hidden="1">'2026'!#REF!</definedName>
    <definedName name="QB_ROW_129050" localSheetId="0" hidden="1">'2026'!$F$101</definedName>
    <definedName name="QB_ROW_129350" localSheetId="0" hidden="1">'2026'!$F$111</definedName>
    <definedName name="QB_ROW_130260" localSheetId="0" hidden="1">'2026'!$G$102</definedName>
    <definedName name="QB_ROW_131260" localSheetId="0" hidden="1">'2026'!$G$104</definedName>
    <definedName name="QB_ROW_132260" localSheetId="0" hidden="1">'2026'!$G$105</definedName>
    <definedName name="QB_ROW_133260" localSheetId="0" hidden="1">'2026'!#REF!</definedName>
    <definedName name="QB_ROW_134050" localSheetId="0" hidden="1">'2026'!$F$112</definedName>
    <definedName name="QB_ROW_134350" localSheetId="0" hidden="1">'2026'!$F$120</definedName>
    <definedName name="QB_ROW_135260" localSheetId="0" hidden="1">'2026'!$G$113</definedName>
    <definedName name="QB_ROW_136260" localSheetId="0" hidden="1">'2026'!$G$117</definedName>
    <definedName name="QB_ROW_137260" localSheetId="0" hidden="1">'2026'!$G$114</definedName>
    <definedName name="QB_ROW_138260" localSheetId="0" hidden="1">'2026'!$G$118</definedName>
    <definedName name="QB_ROW_139260" localSheetId="0" hidden="1">'2026'!$G$119</definedName>
    <definedName name="QB_ROW_140050" localSheetId="0" hidden="1">'2026'!$F$121</definedName>
    <definedName name="QB_ROW_140260" localSheetId="0" hidden="1">'2026'!#REF!</definedName>
    <definedName name="QB_ROW_140350" localSheetId="0" hidden="1">'2026'!$F$125</definedName>
    <definedName name="QB_ROW_141260" localSheetId="0" hidden="1">'2026'!$G$122</definedName>
    <definedName name="QB_ROW_142260" localSheetId="0" hidden="1">'2026'!#REF!</definedName>
    <definedName name="QB_ROW_18301" localSheetId="0" hidden="1">'2026'!#REF!</definedName>
    <definedName name="QB_ROW_19011" localSheetId="0" hidden="1">'2026'!$B$6</definedName>
    <definedName name="QB_ROW_192260" localSheetId="0" hidden="1">'2026'!$G$106</definedName>
    <definedName name="QB_ROW_19311" localSheetId="0" hidden="1">'2026'!$B$129</definedName>
    <definedName name="QB_ROW_194260" localSheetId="0" hidden="1">'2026'!$G$24</definedName>
    <definedName name="QB_ROW_195260" localSheetId="0" hidden="1">'2026'!$G$85</definedName>
    <definedName name="QB_ROW_196260" localSheetId="0" hidden="1">'2026'!#REF!</definedName>
    <definedName name="QB_ROW_197260" localSheetId="0" hidden="1">'2026'!$G$98</definedName>
    <definedName name="QB_ROW_198260" localSheetId="0" hidden="1">'2026'!$G$97</definedName>
    <definedName name="QB_ROW_200260" localSheetId="0" hidden="1">'2026'!$G$123</definedName>
    <definedName name="QB_ROW_20031" localSheetId="0" hidden="1">'2026'!$D$8</definedName>
    <definedName name="QB_ROW_201260" localSheetId="0" hidden="1">'2026'!$G$116</definedName>
    <definedName name="QB_ROW_202260" localSheetId="0" hidden="1">'2026'!$G$40</definedName>
    <definedName name="QB_ROW_203260" localSheetId="0" hidden="1">'2026'!#REF!</definedName>
    <definedName name="QB_ROW_20331" localSheetId="0" hidden="1">'2026'!$D$16</definedName>
    <definedName name="QB_ROW_204260" localSheetId="0" hidden="1">'2026'!#REF!</definedName>
    <definedName name="QB_ROW_21031" localSheetId="0" hidden="1">'2026'!$D$17</definedName>
    <definedName name="QB_ROW_21331" localSheetId="0" hidden="1">'2026'!$D$128</definedName>
    <definedName name="QB_ROW_225250" localSheetId="0" hidden="1">'2026'!$F$13</definedName>
    <definedName name="QB_ROW_238260" localSheetId="0" hidden="1">'2026'!#REF!</definedName>
    <definedName name="QB_ROW_239260" localSheetId="0" hidden="1">'2026'!$G$87</definedName>
    <definedName name="QB_ROW_240260" localSheetId="0" hidden="1">'2026'!#REF!</definedName>
    <definedName name="QB_ROW_241260" localSheetId="0" hidden="1">'2026'!#REF!</definedName>
    <definedName name="QB_ROW_242260" localSheetId="0" hidden="1">'2026'!$G$107</definedName>
    <definedName name="QB_ROW_243260" localSheetId="0" hidden="1">'2026'!$G$108</definedName>
    <definedName name="QB_ROW_244260" localSheetId="0" hidden="1">'2026'!$G$109</definedName>
    <definedName name="QB_ROW_245260" localSheetId="0" hidden="1">'2026'!#REF!</definedName>
    <definedName name="QB_ROW_246260" localSheetId="0" hidden="1">'2026'!$G$115</definedName>
    <definedName name="QB_ROW_254250" localSheetId="0" hidden="1">'2026'!#REF!</definedName>
    <definedName name="QB_ROW_269260" localSheetId="0" hidden="1">'2026'!#REF!</definedName>
    <definedName name="QB_ROW_270260" localSheetId="0" hidden="1">'2026'!$G$55</definedName>
    <definedName name="QB_ROW_271260" localSheetId="0" hidden="1">'2026'!$G$90</definedName>
    <definedName name="QB_ROW_272260" localSheetId="0" hidden="1">'2026'!#REF!</definedName>
    <definedName name="QB_ROW_50050" localSheetId="0" hidden="1">'2026'!$F$37</definedName>
    <definedName name="QB_ROW_50350" localSheetId="0" hidden="1">'2026'!$F$46</definedName>
    <definedName name="QB_ROW_53040" localSheetId="0" hidden="1">'2026'!$E$9</definedName>
    <definedName name="QB_ROW_53340" localSheetId="0" hidden="1">'2026'!$E$15</definedName>
    <definedName name="QB_ROW_54250" localSheetId="0" hidden="1">'2026'!$F$10</definedName>
    <definedName name="QB_ROW_55250" localSheetId="0" hidden="1">'2026'!$F$12</definedName>
    <definedName name="QB_ROW_56250" localSheetId="0" hidden="1">'2026'!$F$14</definedName>
    <definedName name="QB_ROW_57040" localSheetId="0" hidden="1">'2026'!$E$18</definedName>
    <definedName name="QB_ROW_57340" localSheetId="0" hidden="1">'2026'!$E$67</definedName>
    <definedName name="QB_ROW_58050" localSheetId="0" hidden="1">'2026'!$F$19</definedName>
    <definedName name="QB_ROW_58350" localSheetId="0" hidden="1">'2026'!$F$36</definedName>
    <definedName name="QB_ROW_59260" localSheetId="0" hidden="1">'2026'!$G$20</definedName>
    <definedName name="QB_ROW_60260" localSheetId="0" hidden="1">'2026'!$G$38</definedName>
    <definedName name="QB_ROW_61260" localSheetId="0" hidden="1">'2026'!$G$39</definedName>
    <definedName name="QB_ROW_62260" localSheetId="0" hidden="1">'2026'!$G$41</definedName>
    <definedName name="QB_ROW_63260" localSheetId="0" hidden="1">'2026'!$G$42</definedName>
    <definedName name="QB_ROW_64260" localSheetId="0" hidden="1">'2026'!$G$43</definedName>
    <definedName name="QB_ROW_65260" localSheetId="0" hidden="1">'2026'!$G$44</definedName>
    <definedName name="QB_ROW_66260" localSheetId="0" hidden="1">'2026'!$G$45</definedName>
    <definedName name="QB_ROW_67260" localSheetId="0" hidden="1">'2026'!$G$21</definedName>
    <definedName name="QB_ROW_68260" localSheetId="0" hidden="1">'2026'!$G$23</definedName>
    <definedName name="QB_ROW_69260" localSheetId="0" hidden="1">'2026'!$G$25</definedName>
    <definedName name="QB_ROW_70260" localSheetId="0" hidden="1">'2026'!$G$26</definedName>
    <definedName name="QB_ROW_71260" localSheetId="0" hidden="1">'2026'!$G$27</definedName>
    <definedName name="QB_ROW_72260" localSheetId="0" hidden="1">'2026'!$G$28</definedName>
    <definedName name="QB_ROW_73260" localSheetId="0" hidden="1">'2026'!$G$29</definedName>
    <definedName name="QB_ROW_74260" localSheetId="0" hidden="1">'2026'!$G$30</definedName>
    <definedName name="QB_ROW_75260" localSheetId="0" hidden="1">'2026'!$G$31</definedName>
    <definedName name="QB_ROW_76260" localSheetId="0" hidden="1">'2026'!$G$32</definedName>
    <definedName name="QB_ROW_77260" localSheetId="0" hidden="1">'2026'!$G$33</definedName>
    <definedName name="QB_ROW_78260" localSheetId="0" hidden="1">'2026'!$G$34</definedName>
    <definedName name="QB_ROW_79260" localSheetId="0" hidden="1">'2026'!$G$35</definedName>
    <definedName name="QB_ROW_80050" localSheetId="0" hidden="1">'2026'!$F$52</definedName>
    <definedName name="QB_ROW_80350" localSheetId="0" hidden="1">'2026'!$F$61</definedName>
    <definedName name="QB_ROW_81260" localSheetId="0" hidden="1">'2026'!$G$22</definedName>
    <definedName name="QB_ROW_82260" localSheetId="0" hidden="1">'2026'!$G$53</definedName>
    <definedName name="QB_ROW_84260" localSheetId="0" hidden="1">'2026'!$G$54</definedName>
    <definedName name="QB_ROW_85050" localSheetId="0" hidden="1">'2026'!$F$47</definedName>
    <definedName name="QB_ROW_85350" localSheetId="0" hidden="1">'2026'!$F$51</definedName>
    <definedName name="QB_ROW_86260" localSheetId="0" hidden="1">'2026'!$G$48</definedName>
    <definedName name="QB_ROW_86321" localSheetId="0" hidden="1">'2026'!#REF!</definedName>
    <definedName name="QB_ROW_87260" localSheetId="0" hidden="1">'2026'!$G$49</definedName>
    <definedName name="QB_ROW_88260" localSheetId="0" hidden="1">'2026'!$G$50</definedName>
    <definedName name="QB_ROW_89260" localSheetId="0" hidden="1">'2026'!$G$56</definedName>
    <definedName name="QB_ROW_90260" localSheetId="0" hidden="1">'2026'!$G$57</definedName>
    <definedName name="QB_ROW_91260" localSheetId="0" hidden="1">'2026'!$G$58</definedName>
    <definedName name="QB_ROW_92050" localSheetId="0" hidden="1">'2026'!$F$62</definedName>
    <definedName name="QB_ROW_92350" localSheetId="0" hidden="1">'2026'!$F$66</definedName>
    <definedName name="QB_ROW_93260" localSheetId="0" hidden="1">'2026'!$G$63</definedName>
    <definedName name="QB_ROW_94260" localSheetId="0" hidden="1">'2026'!$G$64</definedName>
    <definedName name="QB_ROW_95260" localSheetId="0" hidden="1">'2026'!$G$65</definedName>
    <definedName name="QB_ROW_96050" localSheetId="0" hidden="1">'2026'!$F$69</definedName>
    <definedName name="QB_ROW_96350" localSheetId="0" hidden="1">'2026'!$F$71</definedName>
    <definedName name="QB_ROW_97040" localSheetId="0" hidden="1">'2026'!$E$68</definedName>
    <definedName name="QB_ROW_97340" localSheetId="0" hidden="1">'2026'!$E$126</definedName>
    <definedName name="QB_ROW_98260" localSheetId="0" hidden="1">'2026'!#REF!</definedName>
    <definedName name="QB_ROW_99260" localSheetId="0" hidden="1">'2026'!$G$70</definedName>
    <definedName name="QBCANSUPPORTUPDATE" localSheetId="0">TRUE</definedName>
    <definedName name="QBCOMPANYFILENAME" localSheetId="0">"C:\MX-Quickbooks\Quickbooks-AppData\McKnight Crossings Church of Christ.QBW"</definedName>
    <definedName name="QBENDDATE" localSheetId="0">20140831</definedName>
    <definedName name="QBHEADERSONSCREEN" localSheetId="0">FALSE</definedName>
    <definedName name="QBMETADATASIZE" localSheetId="0">5802</definedName>
    <definedName name="QBPRESERVECOLOR" localSheetId="0">TRUE</definedName>
    <definedName name="QBPRESERVEFONT" localSheetId="0">TRUE</definedName>
    <definedName name="QBPRESERVEROWHEIGHT" localSheetId="0">TRUE</definedName>
    <definedName name="QBPRESERVESPACE" localSheetId="0">TRUE</definedName>
    <definedName name="QBREPORTCOLAXIS" localSheetId="0">8</definedName>
    <definedName name="QBREPORTCOMPANYID" localSheetId="0">"85eb2884388f4a1d8cb438ee93ab1d30"</definedName>
    <definedName name="QBREPORTCOMPARECOL_ANNUALBUDGET" localSheetId="0">FALSE</definedName>
    <definedName name="QBREPORTCOMPARECOL_AVGCOGS" localSheetId="0">FALSE</definedName>
    <definedName name="QBREPORTCOMPARECOL_AVGPRICE" localSheetId="0">FALSE</definedName>
    <definedName name="QBREPORTCOMPARECOL_BUDDIFF" localSheetId="0">FALSE</definedName>
    <definedName name="QBREPORTCOMPARECOL_BUDGET" localSheetId="0">TRUE</definedName>
    <definedName name="QBREPORTCOMPARECOL_BUDPCT" localSheetId="0">FALSE</definedName>
    <definedName name="QBREPORTCOMPARECOL_COGS" localSheetId="0">FALSE</definedName>
    <definedName name="QBREPORTCOMPARECOL_EXCLUDEAMOUNT" localSheetId="0">FALSE</definedName>
    <definedName name="QBREPORTCOMPARECOL_EXCLUDECURPERIOD" localSheetId="0">FALSE</definedName>
    <definedName name="QBREPORTCOMPARECOL_FORECAST" localSheetId="0">FALSE</definedName>
    <definedName name="QBREPORTCOMPARECOL_GROSSMARGIN" localSheetId="0">FALSE</definedName>
    <definedName name="QBREPORTCOMPARECOL_GROSSMARGINPCT" localSheetId="0">FALSE</definedName>
    <definedName name="QBREPORTCOMPARECOL_HOURS" localSheetId="0">FALSE</definedName>
    <definedName name="QBREPORTCOMPARECOL_PCTCOL" localSheetId="0">FALSE</definedName>
    <definedName name="QBREPORTCOMPARECOL_PCTEXPENSE" localSheetId="0">FALSE</definedName>
    <definedName name="QBREPORTCOMPARECOL_PCTINCOME" localSheetId="0">FALSE</definedName>
    <definedName name="QBREPORTCOMPARECOL_PCTOFSALES" localSheetId="0">FALSE</definedName>
    <definedName name="QBREPORTCOMPARECOL_PCTROW" localSheetId="0">FALSE</definedName>
    <definedName name="QBREPORTCOMPARECOL_PPDIFF" localSheetId="0">FALSE</definedName>
    <definedName name="QBREPORTCOMPARECOL_PPPCT" localSheetId="0">FALSE</definedName>
    <definedName name="QBREPORTCOMPARECOL_PREVPERIOD" localSheetId="0">FALSE</definedName>
    <definedName name="QBREPORTCOMPARECOL_PREVYEAR" localSheetId="0">FALSE</definedName>
    <definedName name="QBREPORTCOMPARECOL_PYDIFF" localSheetId="0">FALSE</definedName>
    <definedName name="QBREPORTCOMPARECOL_PYPCT" localSheetId="0">FALSE</definedName>
    <definedName name="QBREPORTCOMPARECOL_QTY" localSheetId="0">FALSE</definedName>
    <definedName name="QBREPORTCOMPARECOL_RATE" localSheetId="0">FALSE</definedName>
    <definedName name="QBREPORTCOMPARECOL_TRIPBILLEDMILES" localSheetId="0">FALSE</definedName>
    <definedName name="QBREPORTCOMPARECOL_TRIPBILLINGAMOUNT" localSheetId="0">FALSE</definedName>
    <definedName name="QBREPORTCOMPARECOL_TRIPMILES" localSheetId="0">FALSE</definedName>
    <definedName name="QBREPORTCOMPARECOL_TRIPNOTBILLABLEMILES" localSheetId="0">FALSE</definedName>
    <definedName name="QBREPORTCOMPARECOL_TRIPTAXDEDUCTIBLEAMOUNT" localSheetId="0">FALSE</definedName>
    <definedName name="QBREPORTCOMPARECOL_TRIPUNBILLEDMILES" localSheetId="0">FALSE</definedName>
    <definedName name="QBREPORTCOMPARECOL_YTD" localSheetId="0">FALSE</definedName>
    <definedName name="QBREPORTCOMPARECOL_YTDBUDGET" localSheetId="0">FALSE</definedName>
    <definedName name="QBREPORTCOMPARECOL_YTDPCT" localSheetId="0">FALSE</definedName>
    <definedName name="QBREPORTROWAXIS" localSheetId="0">11</definedName>
    <definedName name="QBREPORTSUBCOLAXIS" localSheetId="0">24</definedName>
    <definedName name="QBREPORTTYPE" localSheetId="0">288</definedName>
    <definedName name="QBROWHEADERS" localSheetId="0">7</definedName>
    <definedName name="QBSTARTDATE" localSheetId="0">20140101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20" i="5" l="1"/>
  <c r="Q20" i="5"/>
  <c r="P20" i="5"/>
  <c r="O20" i="5"/>
  <c r="N20" i="5"/>
  <c r="M20" i="5"/>
  <c r="L10" i="5"/>
  <c r="O10" i="5"/>
  <c r="O11" i="5" s="1"/>
  <c r="O12" i="5" s="1"/>
  <c r="P10" i="5"/>
  <c r="P11" i="5" s="1"/>
  <c r="P12" i="5" s="1"/>
  <c r="Q10" i="5"/>
  <c r="Q11" i="5" s="1"/>
  <c r="Q12" i="5" s="1"/>
  <c r="R10" i="5"/>
  <c r="R11" i="5" s="1"/>
  <c r="R12" i="5" s="1"/>
  <c r="K11" i="5"/>
  <c r="K12" i="5" s="1"/>
  <c r="L11" i="5"/>
  <c r="L12" i="5" s="1"/>
  <c r="M11" i="5"/>
  <c r="N11" i="5"/>
  <c r="M12" i="5"/>
  <c r="N12" i="5"/>
  <c r="L16" i="5"/>
  <c r="P16" i="5" s="1"/>
  <c r="Q16" i="5"/>
  <c r="R16" i="5"/>
  <c r="L17" i="5"/>
  <c r="P17" i="5" s="1"/>
  <c r="R17" i="5"/>
  <c r="O18" i="5"/>
  <c r="O19" i="5" s="1"/>
  <c r="R18" i="5"/>
  <c r="K19" i="5"/>
  <c r="K20" i="5" s="1"/>
  <c r="M19" i="5"/>
  <c r="N19" i="5"/>
  <c r="I19" i="5"/>
  <c r="I20" i="5" s="1"/>
  <c r="H19" i="5"/>
  <c r="H20" i="5" s="1"/>
  <c r="J18" i="5"/>
  <c r="J19" i="5" s="1"/>
  <c r="J20" i="5" s="1"/>
  <c r="J11" i="5"/>
  <c r="J12" i="5" s="1"/>
  <c r="I11" i="5"/>
  <c r="I12" i="5" s="1"/>
  <c r="H11" i="5"/>
  <c r="H12" i="5" s="1"/>
  <c r="J32" i="1"/>
  <c r="O65" i="1"/>
  <c r="O43" i="1"/>
  <c r="O32" i="1"/>
  <c r="O14" i="1"/>
  <c r="L19" i="4"/>
  <c r="L8" i="4"/>
  <c r="L7" i="4"/>
  <c r="K19" i="4"/>
  <c r="K8" i="4"/>
  <c r="K7" i="4"/>
  <c r="J19" i="4"/>
  <c r="J8" i="4"/>
  <c r="J7" i="4"/>
  <c r="O63" i="1"/>
  <c r="O38" i="1"/>
  <c r="E29" i="4"/>
  <c r="D29" i="4"/>
  <c r="E28" i="4"/>
  <c r="D28" i="4"/>
  <c r="E27" i="4"/>
  <c r="D27" i="4"/>
  <c r="Q25" i="4"/>
  <c r="E24" i="4"/>
  <c r="G24" i="4" s="1"/>
  <c r="D24" i="4"/>
  <c r="D23" i="4"/>
  <c r="E23" i="4" s="1"/>
  <c r="E19" i="4"/>
  <c r="D18" i="4"/>
  <c r="E18" i="4" s="1"/>
  <c r="D14" i="4"/>
  <c r="E14" i="4" s="1"/>
  <c r="E13" i="4"/>
  <c r="D13" i="4"/>
  <c r="J8" i="2"/>
  <c r="E8" i="4"/>
  <c r="E7" i="4"/>
  <c r="R21" i="5" l="1"/>
  <c r="Q21" i="5"/>
  <c r="P21" i="5"/>
  <c r="M21" i="5"/>
  <c r="N21" i="5"/>
  <c r="O21" i="5"/>
  <c r="R19" i="5"/>
  <c r="K21" i="5"/>
  <c r="Q17" i="5"/>
  <c r="L18" i="5"/>
  <c r="I24" i="4"/>
  <c r="P24" i="4" s="1"/>
  <c r="O36" i="4"/>
  <c r="N36" i="4"/>
  <c r="M36" i="4"/>
  <c r="Q35" i="4"/>
  <c r="Q34" i="4"/>
  <c r="D33" i="4"/>
  <c r="G33" i="4" s="1"/>
  <c r="I33" i="4" s="1"/>
  <c r="Q33" i="4" s="1"/>
  <c r="G29" i="4"/>
  <c r="G28" i="4"/>
  <c r="G27" i="4"/>
  <c r="G23" i="4"/>
  <c r="G19" i="4"/>
  <c r="F36" i="4"/>
  <c r="P10" i="4"/>
  <c r="L36" i="4"/>
  <c r="K36" i="4"/>
  <c r="G7" i="4"/>
  <c r="H7" i="4" s="1"/>
  <c r="P7" i="4" s="1"/>
  <c r="CC126" i="1"/>
  <c r="CC121" i="1"/>
  <c r="CC112" i="1"/>
  <c r="CC101" i="1"/>
  <c r="CC89" i="1"/>
  <c r="CC81" i="1"/>
  <c r="CC75" i="1"/>
  <c r="CC72" i="1"/>
  <c r="CC127" i="1" s="1"/>
  <c r="CC67" i="1"/>
  <c r="CC63" i="1"/>
  <c r="CC53" i="1"/>
  <c r="CC68" i="1" s="1"/>
  <c r="CC128" i="1" s="1"/>
  <c r="CC48" i="1"/>
  <c r="CC37" i="1"/>
  <c r="CC15" i="1"/>
  <c r="CC16" i="1" s="1"/>
  <c r="CC17" i="1" s="1"/>
  <c r="BS126" i="1"/>
  <c r="BS121" i="1"/>
  <c r="BS112" i="1"/>
  <c r="BS101" i="1"/>
  <c r="BS89" i="1"/>
  <c r="BS81" i="1"/>
  <c r="BS75" i="1"/>
  <c r="BS72" i="1"/>
  <c r="BS67" i="1"/>
  <c r="BS63" i="1"/>
  <c r="BS53" i="1"/>
  <c r="BS48" i="1"/>
  <c r="BS37" i="1"/>
  <c r="BS15" i="1"/>
  <c r="BS16" i="1" s="1"/>
  <c r="BS17" i="1" s="1"/>
  <c r="BI126" i="1"/>
  <c r="BI121" i="1"/>
  <c r="BI112" i="1"/>
  <c r="BI101" i="1"/>
  <c r="BI89" i="1"/>
  <c r="BI81" i="1"/>
  <c r="BI75" i="1"/>
  <c r="BI72" i="1"/>
  <c r="BI67" i="1"/>
  <c r="BI63" i="1"/>
  <c r="BI53" i="1"/>
  <c r="BI48" i="1"/>
  <c r="BI37" i="1"/>
  <c r="BI15" i="1"/>
  <c r="BI16" i="1" s="1"/>
  <c r="BI17" i="1" s="1"/>
  <c r="AY126" i="1"/>
  <c r="AY121" i="1"/>
  <c r="AY112" i="1"/>
  <c r="AY101" i="1"/>
  <c r="AY89" i="1"/>
  <c r="AY81" i="1"/>
  <c r="AY75" i="1"/>
  <c r="AY72" i="1"/>
  <c r="AY67" i="1"/>
  <c r="AY63" i="1"/>
  <c r="AY53" i="1"/>
  <c r="AY48" i="1"/>
  <c r="AY37" i="1"/>
  <c r="AY15" i="1"/>
  <c r="AY16" i="1" s="1"/>
  <c r="AY17" i="1" s="1"/>
  <c r="AO126" i="1"/>
  <c r="AO121" i="1"/>
  <c r="AO112" i="1"/>
  <c r="AO101" i="1"/>
  <c r="AO89" i="1"/>
  <c r="AO81" i="1"/>
  <c r="AO75" i="1"/>
  <c r="AO72" i="1"/>
  <c r="AO127" i="1" s="1"/>
  <c r="AO67" i="1"/>
  <c r="AO63" i="1"/>
  <c r="AO53" i="1"/>
  <c r="AO48" i="1"/>
  <c r="AO37" i="1"/>
  <c r="AO15" i="1"/>
  <c r="AO16" i="1" s="1"/>
  <c r="AO17" i="1" s="1"/>
  <c r="AE126" i="1"/>
  <c r="AE121" i="1"/>
  <c r="AE112" i="1"/>
  <c r="AE101" i="1"/>
  <c r="AE89" i="1"/>
  <c r="AE81" i="1"/>
  <c r="AE75" i="1"/>
  <c r="AE72" i="1"/>
  <c r="AE127" i="1" s="1"/>
  <c r="AE67" i="1"/>
  <c r="AE63" i="1"/>
  <c r="AE53" i="1"/>
  <c r="AE48" i="1"/>
  <c r="AE37" i="1"/>
  <c r="AE15" i="1"/>
  <c r="AE16" i="1" s="1"/>
  <c r="AE17" i="1" s="1"/>
  <c r="D29" i="2"/>
  <c r="D28" i="2"/>
  <c r="D27" i="2"/>
  <c r="R10" i="1"/>
  <c r="P18" i="5" l="1"/>
  <c r="P19" i="5" s="1"/>
  <c r="Q18" i="5"/>
  <c r="Q19" i="5" s="1"/>
  <c r="L19" i="5"/>
  <c r="L20" i="5" s="1"/>
  <c r="L21" i="5" s="1"/>
  <c r="J21" i="5"/>
  <c r="I21" i="5"/>
  <c r="H21" i="5"/>
  <c r="I27" i="4"/>
  <c r="P27" i="4" s="1"/>
  <c r="J36" i="4"/>
  <c r="D36" i="4"/>
  <c r="I29" i="4"/>
  <c r="P29" i="4"/>
  <c r="I28" i="4"/>
  <c r="P28" i="4" s="1"/>
  <c r="I19" i="4"/>
  <c r="H19" i="4"/>
  <c r="P19" i="4" s="1"/>
  <c r="I23" i="4"/>
  <c r="P23" i="4"/>
  <c r="G8" i="4"/>
  <c r="G14" i="4"/>
  <c r="G18" i="4"/>
  <c r="BS68" i="1"/>
  <c r="BI68" i="1"/>
  <c r="BS127" i="1"/>
  <c r="CC129" i="1"/>
  <c r="CC130" i="1" s="1"/>
  <c r="AY68" i="1"/>
  <c r="BI127" i="1"/>
  <c r="AO68" i="1"/>
  <c r="AO129" i="1" s="1"/>
  <c r="AO130" i="1" s="1"/>
  <c r="AO131" i="1" s="1"/>
  <c r="AY127" i="1"/>
  <c r="AE68" i="1"/>
  <c r="AE128" i="1" s="1"/>
  <c r="AE129" i="1" s="1"/>
  <c r="AE130" i="1" s="1"/>
  <c r="AY129" i="1"/>
  <c r="AY130" i="1" s="1"/>
  <c r="AY131" i="1" s="1"/>
  <c r="L64" i="1"/>
  <c r="L63" i="1"/>
  <c r="Q31" i="4" l="1"/>
  <c r="E36" i="4"/>
  <c r="I14" i="4"/>
  <c r="P14" i="4"/>
  <c r="I18" i="4"/>
  <c r="P18" i="4" s="1"/>
  <c r="Q20" i="4" s="1"/>
  <c r="H8" i="4"/>
  <c r="H36" i="4" s="1"/>
  <c r="G13" i="4"/>
  <c r="BS129" i="1"/>
  <c r="BS130" i="1" s="1"/>
  <c r="BS131" i="1" s="1"/>
  <c r="BI129" i="1"/>
  <c r="BI130" i="1" s="1"/>
  <c r="BI131" i="1" s="1"/>
  <c r="F15" i="2"/>
  <c r="D33" i="2"/>
  <c r="J20" i="2"/>
  <c r="E28" i="2"/>
  <c r="D24" i="2"/>
  <c r="D15" i="2"/>
  <c r="D14" i="2"/>
  <c r="E14" i="2"/>
  <c r="G14" i="2" s="1"/>
  <c r="D19" i="2"/>
  <c r="E20" i="2"/>
  <c r="G20" i="2" s="1"/>
  <c r="J9" i="2"/>
  <c r="L7" i="2"/>
  <c r="K7" i="2"/>
  <c r="J7" i="2" s="1"/>
  <c r="G9" i="2"/>
  <c r="E8" i="2"/>
  <c r="G8" i="2" s="1"/>
  <c r="P11" i="2"/>
  <c r="E19" i="2"/>
  <c r="E24" i="2"/>
  <c r="E27" i="2"/>
  <c r="G33" i="2"/>
  <c r="I33" i="2" s="1"/>
  <c r="Q34" i="2"/>
  <c r="Q35" i="2"/>
  <c r="M36" i="2"/>
  <c r="N36" i="2"/>
  <c r="O36" i="2"/>
  <c r="P8" i="4" l="1"/>
  <c r="Q11" i="4" s="1"/>
  <c r="I13" i="4"/>
  <c r="I36" i="4" s="1"/>
  <c r="G36" i="4"/>
  <c r="E29" i="2"/>
  <c r="G29" i="2" s="1"/>
  <c r="I29" i="2" s="1"/>
  <c r="P29" i="2" s="1"/>
  <c r="I14" i="2"/>
  <c r="P14" i="2" s="1"/>
  <c r="E15" i="2"/>
  <c r="G15" i="2" s="1"/>
  <c r="L36" i="2"/>
  <c r="H9" i="2"/>
  <c r="P9" i="2" s="1"/>
  <c r="H7" i="2"/>
  <c r="P7" i="2" s="1"/>
  <c r="F36" i="2"/>
  <c r="G28" i="2"/>
  <c r="I28" i="2" s="1"/>
  <c r="K36" i="2"/>
  <c r="G19" i="2"/>
  <c r="J36" i="2"/>
  <c r="G27" i="2"/>
  <c r="I27" i="2" s="1"/>
  <c r="P27" i="2" s="1"/>
  <c r="H8" i="2"/>
  <c r="P8" i="2" s="1"/>
  <c r="H20" i="2"/>
  <c r="I20" i="2"/>
  <c r="D36" i="2"/>
  <c r="Q33" i="2"/>
  <c r="G24" i="2"/>
  <c r="P13" i="4" l="1"/>
  <c r="Q16" i="4" s="1"/>
  <c r="Q36" i="4" s="1"/>
  <c r="E36" i="2"/>
  <c r="I15" i="2"/>
  <c r="P15" i="2" s="1"/>
  <c r="Q17" i="2" s="1"/>
  <c r="P28" i="2"/>
  <c r="Q31" i="2" s="1"/>
  <c r="I19" i="2"/>
  <c r="P19" i="2" s="1"/>
  <c r="G36" i="2"/>
  <c r="P20" i="2"/>
  <c r="Q12" i="2"/>
  <c r="I24" i="2"/>
  <c r="I36" i="2" s="1"/>
  <c r="H36" i="2"/>
  <c r="P24" i="2" l="1"/>
  <c r="Q25" i="2" s="1"/>
  <c r="Q21" i="2"/>
  <c r="P64" i="1"/>
  <c r="K125" i="1"/>
  <c r="K120" i="1"/>
  <c r="K111" i="1"/>
  <c r="K100" i="1"/>
  <c r="K88" i="1"/>
  <c r="K80" i="1"/>
  <c r="K74" i="1"/>
  <c r="K71" i="1"/>
  <c r="K66" i="1"/>
  <c r="K61" i="1"/>
  <c r="K51" i="1"/>
  <c r="K46" i="1"/>
  <c r="J46" i="1"/>
  <c r="K36" i="1"/>
  <c r="K15" i="1"/>
  <c r="K16" i="1" s="1"/>
  <c r="L124" i="1"/>
  <c r="P124" i="1" s="1"/>
  <c r="L123" i="1"/>
  <c r="P123" i="1" s="1"/>
  <c r="L122" i="1"/>
  <c r="P122" i="1" s="1"/>
  <c r="L119" i="1"/>
  <c r="P119" i="1" s="1"/>
  <c r="L118" i="1"/>
  <c r="P118" i="1" s="1"/>
  <c r="L117" i="1"/>
  <c r="P117" i="1" s="1"/>
  <c r="L116" i="1"/>
  <c r="P116" i="1" s="1"/>
  <c r="L115" i="1"/>
  <c r="P115" i="1" s="1"/>
  <c r="L114" i="1"/>
  <c r="P114" i="1" s="1"/>
  <c r="L113" i="1"/>
  <c r="P113" i="1" s="1"/>
  <c r="L110" i="1"/>
  <c r="P110" i="1" s="1"/>
  <c r="L109" i="1"/>
  <c r="P109" i="1" s="1"/>
  <c r="L108" i="1"/>
  <c r="P108" i="1" s="1"/>
  <c r="L107" i="1"/>
  <c r="P107" i="1" s="1"/>
  <c r="L106" i="1"/>
  <c r="P106" i="1" s="1"/>
  <c r="L105" i="1"/>
  <c r="P105" i="1" s="1"/>
  <c r="L104" i="1"/>
  <c r="P104" i="1" s="1"/>
  <c r="L103" i="1"/>
  <c r="P103" i="1" s="1"/>
  <c r="L102" i="1"/>
  <c r="P102" i="1" s="1"/>
  <c r="L99" i="1"/>
  <c r="P99" i="1" s="1"/>
  <c r="L98" i="1"/>
  <c r="P98" i="1" s="1"/>
  <c r="L97" i="1"/>
  <c r="P97" i="1" s="1"/>
  <c r="L96" i="1"/>
  <c r="P96" i="1" s="1"/>
  <c r="L95" i="1"/>
  <c r="P95" i="1" s="1"/>
  <c r="L94" i="1"/>
  <c r="P94" i="1" s="1"/>
  <c r="L93" i="1"/>
  <c r="P93" i="1" s="1"/>
  <c r="L92" i="1"/>
  <c r="P92" i="1" s="1"/>
  <c r="L91" i="1"/>
  <c r="P91" i="1" s="1"/>
  <c r="L90" i="1"/>
  <c r="P90" i="1" s="1"/>
  <c r="L87" i="1"/>
  <c r="P87" i="1" s="1"/>
  <c r="L86" i="1"/>
  <c r="P86" i="1" s="1"/>
  <c r="L85" i="1"/>
  <c r="P85" i="1" s="1"/>
  <c r="L84" i="1"/>
  <c r="P84" i="1" s="1"/>
  <c r="L83" i="1"/>
  <c r="P83" i="1" s="1"/>
  <c r="L82" i="1"/>
  <c r="P82" i="1" s="1"/>
  <c r="L79" i="1"/>
  <c r="P79" i="1" s="1"/>
  <c r="L78" i="1"/>
  <c r="P78" i="1" s="1"/>
  <c r="L77" i="1"/>
  <c r="P77" i="1" s="1"/>
  <c r="L76" i="1"/>
  <c r="P76" i="1" s="1"/>
  <c r="L73" i="1"/>
  <c r="P73" i="1" s="1"/>
  <c r="P74" i="1" s="1"/>
  <c r="L70" i="1"/>
  <c r="P70" i="1" s="1"/>
  <c r="P71" i="1" s="1"/>
  <c r="L65" i="1"/>
  <c r="P65" i="1" s="1"/>
  <c r="P63" i="1"/>
  <c r="L60" i="1"/>
  <c r="P60" i="1" s="1"/>
  <c r="L59" i="1"/>
  <c r="P59" i="1" s="1"/>
  <c r="L58" i="1"/>
  <c r="P58" i="1" s="1"/>
  <c r="L57" i="1"/>
  <c r="P57" i="1" s="1"/>
  <c r="L56" i="1"/>
  <c r="P56" i="1" s="1"/>
  <c r="L55" i="1"/>
  <c r="P55" i="1" s="1"/>
  <c r="L54" i="1"/>
  <c r="P54" i="1" s="1"/>
  <c r="L53" i="1"/>
  <c r="P53" i="1" s="1"/>
  <c r="L50" i="1"/>
  <c r="P50" i="1" s="1"/>
  <c r="L49" i="1"/>
  <c r="P49" i="1" s="1"/>
  <c r="L48" i="1"/>
  <c r="P48" i="1" s="1"/>
  <c r="L45" i="1"/>
  <c r="P45" i="1" s="1"/>
  <c r="L44" i="1"/>
  <c r="P44" i="1" s="1"/>
  <c r="L43" i="1"/>
  <c r="P43" i="1" s="1"/>
  <c r="L42" i="1"/>
  <c r="P42" i="1" s="1"/>
  <c r="L41" i="1"/>
  <c r="P41" i="1" s="1"/>
  <c r="L40" i="1"/>
  <c r="P40" i="1" s="1"/>
  <c r="L39" i="1"/>
  <c r="P39" i="1" s="1"/>
  <c r="L38" i="1"/>
  <c r="P38" i="1" s="1"/>
  <c r="L35" i="1"/>
  <c r="P35" i="1" s="1"/>
  <c r="L34" i="1"/>
  <c r="P34" i="1" s="1"/>
  <c r="L33" i="1"/>
  <c r="P33" i="1" s="1"/>
  <c r="L32" i="1"/>
  <c r="P32" i="1" s="1"/>
  <c r="L31" i="1"/>
  <c r="P31" i="1" s="1"/>
  <c r="L30" i="1"/>
  <c r="P30" i="1" s="1"/>
  <c r="L29" i="1"/>
  <c r="P29" i="1" s="1"/>
  <c r="L28" i="1"/>
  <c r="P28" i="1" s="1"/>
  <c r="L27" i="1"/>
  <c r="P27" i="1" s="1"/>
  <c r="L26" i="1"/>
  <c r="P26" i="1" s="1"/>
  <c r="L25" i="1"/>
  <c r="P25" i="1" s="1"/>
  <c r="L24" i="1"/>
  <c r="P24" i="1" s="1"/>
  <c r="L23" i="1"/>
  <c r="P23" i="1" s="1"/>
  <c r="L22" i="1"/>
  <c r="P22" i="1" s="1"/>
  <c r="L21" i="1"/>
  <c r="P21" i="1" s="1"/>
  <c r="L20" i="1"/>
  <c r="P20" i="1" s="1"/>
  <c r="L14" i="1"/>
  <c r="P14" i="1" s="1"/>
  <c r="L13" i="1"/>
  <c r="P13" i="1" s="1"/>
  <c r="L12" i="1"/>
  <c r="P12" i="1" s="1"/>
  <c r="L11" i="1"/>
  <c r="P11" i="1" s="1"/>
  <c r="L10" i="1"/>
  <c r="R30" i="1"/>
  <c r="M100" i="1"/>
  <c r="M125" i="1"/>
  <c r="M120" i="1"/>
  <c r="M111" i="1"/>
  <c r="M88" i="1"/>
  <c r="M80" i="1"/>
  <c r="M74" i="1"/>
  <c r="M71" i="1"/>
  <c r="M66" i="1"/>
  <c r="M61" i="1"/>
  <c r="M51" i="1"/>
  <c r="M46" i="1"/>
  <c r="M36" i="1"/>
  <c r="M15" i="1"/>
  <c r="M16" i="1" s="1"/>
  <c r="O125" i="1"/>
  <c r="N125" i="1"/>
  <c r="J125" i="1"/>
  <c r="I125" i="1"/>
  <c r="H125" i="1"/>
  <c r="O120" i="1"/>
  <c r="N120" i="1"/>
  <c r="J120" i="1"/>
  <c r="I120" i="1"/>
  <c r="H120" i="1"/>
  <c r="O111" i="1"/>
  <c r="N111" i="1"/>
  <c r="J111" i="1"/>
  <c r="I111" i="1"/>
  <c r="H111" i="1"/>
  <c r="O100" i="1"/>
  <c r="N100" i="1"/>
  <c r="J100" i="1"/>
  <c r="I100" i="1"/>
  <c r="H100" i="1"/>
  <c r="O88" i="1"/>
  <c r="N88" i="1"/>
  <c r="J88" i="1"/>
  <c r="I88" i="1"/>
  <c r="H88" i="1"/>
  <c r="O80" i="1"/>
  <c r="N80" i="1"/>
  <c r="J80" i="1"/>
  <c r="I80" i="1"/>
  <c r="H80" i="1"/>
  <c r="O74" i="1"/>
  <c r="N74" i="1"/>
  <c r="J74" i="1"/>
  <c r="I74" i="1"/>
  <c r="H74" i="1"/>
  <c r="O71" i="1"/>
  <c r="N71" i="1"/>
  <c r="J71" i="1"/>
  <c r="I71" i="1"/>
  <c r="H71" i="1"/>
  <c r="O66" i="1"/>
  <c r="N66" i="1"/>
  <c r="J66" i="1"/>
  <c r="H66" i="1"/>
  <c r="H61" i="1"/>
  <c r="H51" i="1"/>
  <c r="H46" i="1"/>
  <c r="O36" i="1"/>
  <c r="H36" i="1"/>
  <c r="H15" i="1"/>
  <c r="H16" i="1" s="1"/>
  <c r="O15" i="1"/>
  <c r="Q10" i="1" l="1"/>
  <c r="P10" i="1"/>
  <c r="P120" i="1"/>
  <c r="P51" i="1"/>
  <c r="Q36" i="2"/>
  <c r="I66" i="1"/>
  <c r="P66" i="1"/>
  <c r="P80" i="1"/>
  <c r="P15" i="1"/>
  <c r="P16" i="1" s="1"/>
  <c r="P61" i="1"/>
  <c r="P88" i="1"/>
  <c r="P111" i="1"/>
  <c r="P125" i="1"/>
  <c r="P46" i="1"/>
  <c r="P36" i="1"/>
  <c r="P100" i="1"/>
  <c r="L125" i="1"/>
  <c r="K126" i="1"/>
  <c r="K67" i="1"/>
  <c r="L15" i="1"/>
  <c r="L16" i="1" s="1"/>
  <c r="I126" i="1"/>
  <c r="M67" i="1"/>
  <c r="J126" i="1"/>
  <c r="N126" i="1"/>
  <c r="H126" i="1"/>
  <c r="M126" i="1"/>
  <c r="O126" i="1"/>
  <c r="H67" i="1"/>
  <c r="P126" i="1" l="1"/>
  <c r="P67" i="1"/>
  <c r="K128" i="1"/>
  <c r="K129" i="1" s="1"/>
  <c r="M128" i="1"/>
  <c r="M129" i="1" s="1"/>
  <c r="H128" i="1"/>
  <c r="N61" i="1"/>
  <c r="N51" i="1"/>
  <c r="N46" i="1"/>
  <c r="N36" i="1"/>
  <c r="N15" i="1"/>
  <c r="N16" i="1" s="1"/>
  <c r="J61" i="1"/>
  <c r="J51" i="1"/>
  <c r="J36" i="1"/>
  <c r="J15" i="1"/>
  <c r="J16" i="1" s="1"/>
  <c r="I15" i="1"/>
  <c r="P128" i="1" l="1"/>
  <c r="P129" i="1" s="1"/>
  <c r="N67" i="1"/>
  <c r="N128" i="1" s="1"/>
  <c r="N129" i="1" s="1"/>
  <c r="J67" i="1"/>
  <c r="J128" i="1" s="1"/>
  <c r="J129" i="1" s="1"/>
  <c r="R124" i="1" l="1"/>
  <c r="R123" i="1"/>
  <c r="R122" i="1"/>
  <c r="R119" i="1"/>
  <c r="R118" i="1"/>
  <c r="R117" i="1"/>
  <c r="R116" i="1"/>
  <c r="R115" i="1"/>
  <c r="R114" i="1"/>
  <c r="R113" i="1"/>
  <c r="R110" i="1"/>
  <c r="R109" i="1"/>
  <c r="R108" i="1"/>
  <c r="R107" i="1"/>
  <c r="R106" i="1"/>
  <c r="R105" i="1"/>
  <c r="R104" i="1"/>
  <c r="R103" i="1"/>
  <c r="R102" i="1"/>
  <c r="R99" i="1"/>
  <c r="R98" i="1"/>
  <c r="R97" i="1"/>
  <c r="R96" i="1"/>
  <c r="R95" i="1"/>
  <c r="R94" i="1"/>
  <c r="R93" i="1"/>
  <c r="R92" i="1"/>
  <c r="R91" i="1"/>
  <c r="R90" i="1"/>
  <c r="R87" i="1"/>
  <c r="R86" i="1"/>
  <c r="R85" i="1"/>
  <c r="R84" i="1"/>
  <c r="R83" i="1"/>
  <c r="R82" i="1"/>
  <c r="R79" i="1"/>
  <c r="R78" i="1"/>
  <c r="R77" i="1"/>
  <c r="R76" i="1"/>
  <c r="R73" i="1"/>
  <c r="R74" i="1" s="1"/>
  <c r="R70" i="1"/>
  <c r="R71" i="1" s="1"/>
  <c r="R65" i="1"/>
  <c r="R63" i="1"/>
  <c r="R60" i="1"/>
  <c r="R59" i="1"/>
  <c r="R58" i="1"/>
  <c r="R57" i="1"/>
  <c r="R56" i="1"/>
  <c r="R55" i="1"/>
  <c r="R54" i="1"/>
  <c r="R53" i="1"/>
  <c r="R50" i="1"/>
  <c r="R49" i="1"/>
  <c r="R48" i="1"/>
  <c r="R45" i="1"/>
  <c r="R44" i="1"/>
  <c r="R43" i="1"/>
  <c r="R42" i="1"/>
  <c r="R41" i="1"/>
  <c r="R40" i="1"/>
  <c r="R39" i="1"/>
  <c r="R38" i="1"/>
  <c r="R35" i="1"/>
  <c r="R34" i="1"/>
  <c r="R33" i="1"/>
  <c r="R32" i="1"/>
  <c r="R31" i="1"/>
  <c r="R29" i="1"/>
  <c r="R28" i="1"/>
  <c r="R27" i="1"/>
  <c r="R26" i="1"/>
  <c r="R25" i="1"/>
  <c r="R24" i="1"/>
  <c r="R23" i="1"/>
  <c r="R22" i="1"/>
  <c r="R21" i="1"/>
  <c r="R20" i="1"/>
  <c r="R14" i="1"/>
  <c r="R13" i="1"/>
  <c r="R12" i="1"/>
  <c r="R11" i="1"/>
  <c r="Q124" i="1"/>
  <c r="Q123" i="1"/>
  <c r="Q119" i="1"/>
  <c r="Q118" i="1"/>
  <c r="Q117" i="1"/>
  <c r="Q116" i="1"/>
  <c r="Q115" i="1"/>
  <c r="Q114" i="1"/>
  <c r="Q110" i="1"/>
  <c r="Q109" i="1"/>
  <c r="Q108" i="1"/>
  <c r="Q107" i="1"/>
  <c r="Q106" i="1"/>
  <c r="Q105" i="1"/>
  <c r="Q104" i="1"/>
  <c r="Q103" i="1"/>
  <c r="Q99" i="1"/>
  <c r="Q98" i="1"/>
  <c r="Q97" i="1"/>
  <c r="Q96" i="1"/>
  <c r="Q95" i="1"/>
  <c r="Q94" i="1"/>
  <c r="Q93" i="1"/>
  <c r="Q92" i="1"/>
  <c r="Q91" i="1"/>
  <c r="Q87" i="1"/>
  <c r="Q86" i="1"/>
  <c r="Q85" i="1"/>
  <c r="Q84" i="1"/>
  <c r="Q83" i="1"/>
  <c r="Q79" i="1"/>
  <c r="Q78" i="1"/>
  <c r="Q77" i="1"/>
  <c r="Q65" i="1"/>
  <c r="L66" i="1"/>
  <c r="Q60" i="1"/>
  <c r="Q59" i="1"/>
  <c r="Q58" i="1"/>
  <c r="Q57" i="1"/>
  <c r="Q56" i="1"/>
  <c r="Q55" i="1"/>
  <c r="Q54" i="1"/>
  <c r="Q50" i="1"/>
  <c r="Q49" i="1"/>
  <c r="Q45" i="1"/>
  <c r="Q44" i="1"/>
  <c r="Q43" i="1"/>
  <c r="Q42" i="1"/>
  <c r="Q41" i="1"/>
  <c r="Q40" i="1"/>
  <c r="Q39" i="1"/>
  <c r="Q35" i="1"/>
  <c r="Q34" i="1"/>
  <c r="Q33" i="1"/>
  <c r="Q32" i="1"/>
  <c r="Q31" i="1"/>
  <c r="Q30" i="1"/>
  <c r="Q29" i="1"/>
  <c r="Q28" i="1"/>
  <c r="Q27" i="1"/>
  <c r="Q26" i="1"/>
  <c r="Q25" i="1"/>
  <c r="Q23" i="1"/>
  <c r="Q22" i="1"/>
  <c r="Q21" i="1"/>
  <c r="Q20" i="1"/>
  <c r="Q14" i="1"/>
  <c r="Q13" i="1"/>
  <c r="Q12" i="1"/>
  <c r="I61" i="1"/>
  <c r="I51" i="1"/>
  <c r="I46" i="1"/>
  <c r="I36" i="1"/>
  <c r="I16" i="1"/>
  <c r="R125" i="1" l="1"/>
  <c r="R66" i="1"/>
  <c r="R120" i="1"/>
  <c r="R100" i="1"/>
  <c r="R80" i="1"/>
  <c r="I67" i="1"/>
  <c r="I128" i="1" s="1"/>
  <c r="I129" i="1" s="1"/>
  <c r="R46" i="1"/>
  <c r="R51" i="1"/>
  <c r="Q70" i="1"/>
  <c r="Q71" i="1" s="1"/>
  <c r="L71" i="1"/>
  <c r="Q53" i="1"/>
  <c r="Q61" i="1" s="1"/>
  <c r="L61" i="1"/>
  <c r="Q82" i="1"/>
  <c r="Q88" i="1" s="1"/>
  <c r="L88" i="1"/>
  <c r="Q102" i="1"/>
  <c r="Q111" i="1" s="1"/>
  <c r="L111" i="1"/>
  <c r="Q122" i="1"/>
  <c r="Q125" i="1" s="1"/>
  <c r="Q76" i="1"/>
  <c r="Q80" i="1" s="1"/>
  <c r="L80" i="1"/>
  <c r="Q11" i="1"/>
  <c r="Q15" i="1" s="1"/>
  <c r="Q16" i="1" s="1"/>
  <c r="Q73" i="1"/>
  <c r="Q74" i="1" s="1"/>
  <c r="L74" i="1"/>
  <c r="R15" i="1"/>
  <c r="R16" i="1" s="1"/>
  <c r="R61" i="1"/>
  <c r="R88" i="1"/>
  <c r="R111" i="1"/>
  <c r="Q113" i="1"/>
  <c r="Q120" i="1" s="1"/>
  <c r="L120" i="1"/>
  <c r="Q38" i="1"/>
  <c r="Q46" i="1" s="1"/>
  <c r="L46" i="1"/>
  <c r="Q90" i="1"/>
  <c r="Q100" i="1" s="1"/>
  <c r="L100" i="1"/>
  <c r="R36" i="1"/>
  <c r="Q48" i="1"/>
  <c r="Q51" i="1" s="1"/>
  <c r="L51" i="1"/>
  <c r="Q24" i="1"/>
  <c r="Q36" i="1" s="1"/>
  <c r="L36" i="1"/>
  <c r="Q63" i="1"/>
  <c r="Q66" i="1" s="1"/>
  <c r="O61" i="1"/>
  <c r="O51" i="1"/>
  <c r="O46" i="1"/>
  <c r="O16" i="1"/>
  <c r="O67" i="1" l="1"/>
  <c r="O128" i="1" s="1"/>
  <c r="O129" i="1" s="1"/>
  <c r="R67" i="1"/>
  <c r="L126" i="1"/>
  <c r="R126" i="1"/>
  <c r="Q126" i="1"/>
  <c r="L67" i="1"/>
  <c r="Q67" i="1"/>
  <c r="H129" i="1"/>
  <c r="R128" i="1" l="1"/>
  <c r="R129" i="1" s="1"/>
  <c r="L128" i="1"/>
  <c r="L129" i="1" s="1"/>
  <c r="Q128" i="1"/>
  <c r="Q129" i="1" s="1"/>
</calcChain>
</file>

<file path=xl/sharedStrings.xml><?xml version="1.0" encoding="utf-8"?>
<sst xmlns="http://schemas.openxmlformats.org/spreadsheetml/2006/main" count="1127" uniqueCount="266">
  <si>
    <t>Ordinary Income/Expense</t>
  </si>
  <si>
    <t>Income</t>
  </si>
  <si>
    <t>4100000 · General Fund Income</t>
  </si>
  <si>
    <t>4100100 · Regular Contributions</t>
  </si>
  <si>
    <t>4100110 · Building Use Rental Income</t>
  </si>
  <si>
    <t>4100130 · Other Income</t>
  </si>
  <si>
    <t>4100140 · Rental Property (Houses)</t>
  </si>
  <si>
    <t>Total 4100000 · General Fund Income</t>
  </si>
  <si>
    <t>Total Income</t>
  </si>
  <si>
    <t>Expense</t>
  </si>
  <si>
    <t>6100000 · Committed Expenditures</t>
  </si>
  <si>
    <t>6100100 · Facility</t>
  </si>
  <si>
    <t>6100102 · Electricity</t>
  </si>
  <si>
    <t>6100103 · Gas</t>
  </si>
  <si>
    <t>6100106 · Sewer</t>
  </si>
  <si>
    <t>6100109 · Trash</t>
  </si>
  <si>
    <t>6100112 · Water</t>
  </si>
  <si>
    <t>6100115 · Building Supplies</t>
  </si>
  <si>
    <t>6100150 · Maintenance and Repair</t>
  </si>
  <si>
    <t>6100155 · Renovations and Upgrades</t>
  </si>
  <si>
    <t>6100160 · Property Insurance</t>
  </si>
  <si>
    <t>6100175 · Rent House Maintenance</t>
  </si>
  <si>
    <t>6100180 · Rent House Real Estate Taxes</t>
  </si>
  <si>
    <t>6100185 · Lawn Care</t>
  </si>
  <si>
    <t>6100190 · Snow Removal</t>
  </si>
  <si>
    <t>Total 6100100 · Facility</t>
  </si>
  <si>
    <t>6100300 · Payroll</t>
  </si>
  <si>
    <t>6100305 · Salaries &amp; Wages</t>
  </si>
  <si>
    <t>6100310 · Housing Allowance</t>
  </si>
  <si>
    <t>6100320 · Pulpit Ministers Resources</t>
  </si>
  <si>
    <t>6100330 · Education and Training</t>
  </si>
  <si>
    <t>6100340 · Workers Compensation</t>
  </si>
  <si>
    <t>6100350 · Disability &amp; Health Insurance</t>
  </si>
  <si>
    <t>6100380 · Retirement</t>
  </si>
  <si>
    <t>6100390 · Payroll Taxes</t>
  </si>
  <si>
    <t>Total 6100300 · Payroll</t>
  </si>
  <si>
    <t>6100400 · Automotive</t>
  </si>
  <si>
    <t>6100440 · Automotive Insurance</t>
  </si>
  <si>
    <t>6100450 · Automotive Fuel</t>
  </si>
  <si>
    <t>6100460 · Van Maintenance &amp; Rentals</t>
  </si>
  <si>
    <t>Total 6100400 · Automotive</t>
  </si>
  <si>
    <t>6100500 · Office</t>
  </si>
  <si>
    <t>6100510 · Copy Machine</t>
  </si>
  <si>
    <t>6100562 · Computer Technology-Network</t>
  </si>
  <si>
    <t>6100565 · Background Checks</t>
  </si>
  <si>
    <t>6100580 · Postage</t>
  </si>
  <si>
    <t>Total 6100500 · Office</t>
  </si>
  <si>
    <t>6100600 · Finance</t>
  </si>
  <si>
    <t>6100610 · Mortgage Payments (Interest)</t>
  </si>
  <si>
    <t>Total 6100600 · Finance</t>
  </si>
  <si>
    <t>Total 6100000 · Committed Expenditures</t>
  </si>
  <si>
    <t>7100000 · Uncommitted Expenditures</t>
  </si>
  <si>
    <t>7100100 · Adult Ministry</t>
  </si>
  <si>
    <t>7100105 · Adult Curriculum</t>
  </si>
  <si>
    <t>Total 7100100 · Adult Ministry</t>
  </si>
  <si>
    <t>7100200 · Youth Ministry</t>
  </si>
  <si>
    <t>Total 7100200 · Youth Ministry</t>
  </si>
  <si>
    <t>7100300 · Children's Ministry</t>
  </si>
  <si>
    <t>7100350 · VBS</t>
  </si>
  <si>
    <t>Total 7100300 · Children's Ministry</t>
  </si>
  <si>
    <t>7100400 · Missions</t>
  </si>
  <si>
    <t>7100402 · General Mission Fund</t>
  </si>
  <si>
    <t>7100405 · ACTS Campus Ministry</t>
  </si>
  <si>
    <t>7100410 · Christian Family Services</t>
  </si>
  <si>
    <t>7100415 · Camp Ne-O-Tez</t>
  </si>
  <si>
    <t>7100425 · Marseille France</t>
  </si>
  <si>
    <t>Total 7100400 · Missions</t>
  </si>
  <si>
    <t>7100500 · Outreach</t>
  </si>
  <si>
    <t>7100520 · Food Pantry</t>
  </si>
  <si>
    <t>7100540 · Room at the Inn</t>
  </si>
  <si>
    <t>7100570 · Welcome Ministry</t>
  </si>
  <si>
    <t>Total 7100500 · Outreach</t>
  </si>
  <si>
    <t>7100600 · Fellowship</t>
  </si>
  <si>
    <t>7100610 · Kitchen Consumables</t>
  </si>
  <si>
    <t>7100650 · Farewell Gifts</t>
  </si>
  <si>
    <t>7100660 · Fellowship Activities</t>
  </si>
  <si>
    <t>7100670 · Women's Activities</t>
  </si>
  <si>
    <t>7100680 · Men's Activities</t>
  </si>
  <si>
    <t>Total 7100600 · Fellowship</t>
  </si>
  <si>
    <t>7100700 · Worship</t>
  </si>
  <si>
    <t>7100730 · Special Services</t>
  </si>
  <si>
    <t>Total 7100700 · Worship</t>
  </si>
  <si>
    <t>Total 7100000 · Uncommitted Expenditures</t>
  </si>
  <si>
    <t>Total Expense</t>
  </si>
  <si>
    <t>Net Ordinary Income</t>
  </si>
  <si>
    <t>7100591 · New Member Orientation</t>
  </si>
  <si>
    <t>7100580 · Community Events</t>
  </si>
  <si>
    <t>7100800 · Capital Expenditure Replenish</t>
  </si>
  <si>
    <t>7100630 · Funeral Expenses</t>
  </si>
  <si>
    <t>7100510 · Benevolence-Member</t>
  </si>
  <si>
    <t>7100515 · Benevolence-Nonmember</t>
  </si>
  <si>
    <t>7100593 · Congregational Child Care</t>
  </si>
  <si>
    <t>4100105 · Special Contributions</t>
  </si>
  <si>
    <t>7100428 · Mauritius</t>
  </si>
  <si>
    <t>7100640 · Connect Groups</t>
  </si>
  <si>
    <t>7100735 · Safety</t>
  </si>
  <si>
    <t>Total 7100170 · Next Gen Ministry</t>
  </si>
  <si>
    <t>6100195 · Janitor Supplies/Cleaning</t>
  </si>
  <si>
    <t>7100170 · Next Gen Ministry</t>
  </si>
  <si>
    <t>7100175 · Next Gen Ministry</t>
  </si>
  <si>
    <t>6100170 · Rental House Utility</t>
  </si>
  <si>
    <t>6100105 · Telephone / Internet</t>
  </si>
  <si>
    <t>6100615 · First Mid B&amp;T Principal</t>
  </si>
  <si>
    <t>6100690 · Bank / Broker &amp; other Fees</t>
  </si>
  <si>
    <t>7100210 · Youth General</t>
  </si>
  <si>
    <t>7100230 · Youth Missions</t>
  </si>
  <si>
    <t>7100231 · Youth Shepherding</t>
  </si>
  <si>
    <t>7100240 · Youth Scholarship</t>
  </si>
  <si>
    <t>7100325 · Leadership Development</t>
  </si>
  <si>
    <t>7100335 · Family Milestones</t>
  </si>
  <si>
    <t>7100427 · North City Church/Urban Youth</t>
  </si>
  <si>
    <t>7100417 · Global Serve Int'l</t>
  </si>
  <si>
    <t xml:space="preserve">7100420 · Campus Outreach SERVE </t>
  </si>
  <si>
    <t>7100590 · Sr. Minister Shepherding</t>
  </si>
  <si>
    <t>Gross Profit</t>
  </si>
  <si>
    <t>7100417 · Global Serve Int'l [Whelan]</t>
  </si>
  <si>
    <t>7100420 · Campus Outreach SERVE [Gasser]</t>
  </si>
  <si>
    <t>7100427 · North City Church/Urban Youth O</t>
  </si>
  <si>
    <t>Net Income</t>
  </si>
  <si>
    <t>7100710 · Auditorium Worship</t>
  </si>
  <si>
    <t>6100307 · Restricted Salaries &amp; Wages</t>
  </si>
  <si>
    <t>7100345 · Preschool/Elem Activities</t>
  </si>
  <si>
    <t>7100430 · ACTS Mission</t>
  </si>
  <si>
    <t xml:space="preserve">7100430 · ACTS Mission </t>
  </si>
  <si>
    <t>Budget</t>
  </si>
  <si>
    <t>7100340 · C.Minister Shepherding</t>
  </si>
  <si>
    <t>6100520 · Website / Social Media / Email</t>
  </si>
  <si>
    <t>6100570 · Office Supplies / Services</t>
  </si>
  <si>
    <t>6100590 · Leaders' Lunches / Meetings</t>
  </si>
  <si>
    <t>6100581 · Miscellaneous-Not Budgeted</t>
  </si>
  <si>
    <t>A</t>
  </si>
  <si>
    <t>B</t>
  </si>
  <si>
    <t>Actual</t>
  </si>
  <si>
    <t>2024</t>
  </si>
  <si>
    <t>C</t>
  </si>
  <si>
    <t>PROJECTED INCOME/EXPENSES</t>
  </si>
  <si>
    <t>ANNUAL BUDGET</t>
  </si>
  <si>
    <t>CHANGE</t>
  </si>
  <si>
    <t>D</t>
  </si>
  <si>
    <t>Oct 24</t>
  </si>
  <si>
    <t>Nov 24</t>
  </si>
  <si>
    <t>Dec 24</t>
  </si>
  <si>
    <t>A+B+C+D</t>
  </si>
  <si>
    <t>2025</t>
  </si>
  <si>
    <t>2025 Budget</t>
  </si>
  <si>
    <t>(O-N)</t>
  </si>
  <si>
    <t>(O-L)</t>
  </si>
  <si>
    <t>BUDGET 2024</t>
  </si>
  <si>
    <t>6100195 · Janitor Supplies / Cleaning</t>
  </si>
  <si>
    <t>6100690 · Bank / Broker &amp; Other Fees</t>
  </si>
  <si>
    <t>7100315 · Curriculum &amp; Class Supplies</t>
  </si>
  <si>
    <t>Budget 24</t>
  </si>
  <si>
    <t>7100340 · C. Minister Shepherding</t>
  </si>
  <si>
    <t>(N-L)</t>
  </si>
  <si>
    <t xml:space="preserve">7100400 · Missions </t>
  </si>
  <si>
    <t>These are not actual payroll paid but amount of payroll that is budgeted/estimated for this position</t>
  </si>
  <si>
    <t>*</t>
  </si>
  <si>
    <t>Worker's Compensation</t>
  </si>
  <si>
    <t>Summer-reimburse</t>
  </si>
  <si>
    <t>Summer (1)</t>
  </si>
  <si>
    <t>Interns</t>
  </si>
  <si>
    <t>Custodial</t>
  </si>
  <si>
    <t>Hunsaker, T (20 hr/wk)</t>
  </si>
  <si>
    <t>Maintenance</t>
  </si>
  <si>
    <t>McPherson, E  (40+ hr/wk)</t>
  </si>
  <si>
    <t>Myers, K (20 hr/wk)</t>
  </si>
  <si>
    <t xml:space="preserve"> Office Staff</t>
  </si>
  <si>
    <t>Part Time Ministers</t>
  </si>
  <si>
    <t>Admin to Guidestone</t>
  </si>
  <si>
    <t>Strickland, N</t>
  </si>
  <si>
    <t>Full Time Ministers</t>
  </si>
  <si>
    <t>Total</t>
  </si>
  <si>
    <t>Comp</t>
  </si>
  <si>
    <t>Resource</t>
  </si>
  <si>
    <t>Training</t>
  </si>
  <si>
    <t>Disability</t>
  </si>
  <si>
    <t>Dental</t>
  </si>
  <si>
    <t>Health</t>
  </si>
  <si>
    <t>FICA</t>
  </si>
  <si>
    <t>Match</t>
  </si>
  <si>
    <t>hours</t>
  </si>
  <si>
    <t>Raise</t>
  </si>
  <si>
    <t>est. hr</t>
  </si>
  <si>
    <t>Personell</t>
  </si>
  <si>
    <t>Rate</t>
  </si>
  <si>
    <t xml:space="preserve">Work </t>
  </si>
  <si>
    <t>Minister</t>
  </si>
  <si>
    <t>Education</t>
  </si>
  <si>
    <t>Retire</t>
  </si>
  <si>
    <t>Salary</t>
  </si>
  <si>
    <t>inc(dec)</t>
  </si>
  <si>
    <t>Hourly</t>
  </si>
  <si>
    <t>Salary/</t>
  </si>
  <si>
    <t>Pulpit</t>
  </si>
  <si>
    <t xml:space="preserve">Salary </t>
  </si>
  <si>
    <t>Estimate</t>
  </si>
  <si>
    <t>McKnight Crossings Church of Christ</t>
  </si>
  <si>
    <t>Projections for 2025 Payroll/Benefits/Health</t>
  </si>
  <si>
    <t>New Childrens Minister</t>
  </si>
  <si>
    <t>Walker, S (25 hr/wk)</t>
  </si>
  <si>
    <t>2024 budget total</t>
  </si>
  <si>
    <t>new min</t>
  </si>
  <si>
    <t>new min=13.75</t>
  </si>
  <si>
    <t>Intern works 10 weeks x 40 hrs x $13.75 = $5,500 + 2 of those wks are at camp x 10 hrs OT x $20.63 = add'l $413;  $5500+413+87 rounding=$6,000.</t>
  </si>
  <si>
    <t xml:space="preserve">Assumes new lead minister hired 1/1/25 </t>
  </si>
  <si>
    <t xml:space="preserve">Assumes new children's minister hired 1/1/25 </t>
  </si>
  <si>
    <t>Briggs, Carol (9 hr)</t>
  </si>
  <si>
    <t>Hill, Alec(8 hr)</t>
  </si>
  <si>
    <t xml:space="preserve">2024 Actual total </t>
  </si>
  <si>
    <t>7100590 · Lead Minister Shepherding</t>
  </si>
  <si>
    <t>Prior Year 2024 Hourly 'ee rate  Myers=$20.80, Hunsaker=$23.08,  Briggs=$13.93, Hill=$13.45, Blackford=$12.48</t>
  </si>
  <si>
    <t>Jan-Sep 25</t>
  </si>
  <si>
    <t>Oct 25</t>
  </si>
  <si>
    <t>Nov 25</t>
  </si>
  <si>
    <t>Dec 25</t>
  </si>
  <si>
    <t>TOT 2025</t>
  </si>
  <si>
    <t>2026</t>
  </si>
  <si>
    <t>2026 Budget</t>
  </si>
  <si>
    <t>2025 Prjctd</t>
  </si>
  <si>
    <t>Projected</t>
  </si>
  <si>
    <t>Jan - Sep 25</t>
  </si>
  <si>
    <t>Year-to-Date Actual (Jan-Sep 25)</t>
  </si>
  <si>
    <t>OCT Projected (Oct 24)</t>
  </si>
  <si>
    <t>NOV Projected (Nov 24)</t>
  </si>
  <si>
    <t>DEC Projected (Dec 24)</t>
  </si>
  <si>
    <t>BUDGET 2025</t>
  </si>
  <si>
    <t>Budget 25</t>
  </si>
  <si>
    <t>OCT 2025 - Actual</t>
  </si>
  <si>
    <t>NOV 2025 - Actual</t>
  </si>
  <si>
    <t>DEC 2025 - Actual</t>
  </si>
  <si>
    <t>COMMENTS</t>
  </si>
  <si>
    <t>Projected mortgage interest for Oct-Dec is 2024 actual.</t>
  </si>
  <si>
    <t>Projected principal for Oct-Dec is the difference required</t>
  </si>
  <si>
    <r>
      <t xml:space="preserve">    for $6610.31 (7.25%) in Oct and </t>
    </r>
    <r>
      <rPr>
        <u/>
        <sz val="8"/>
        <color rgb="FFFF0000"/>
        <rFont val="Arial"/>
        <family val="2"/>
      </rPr>
      <t>6570.62</t>
    </r>
    <r>
      <rPr>
        <sz val="8"/>
        <color rgb="FF000000"/>
        <rFont val="Arial"/>
        <family val="2"/>
      </rPr>
      <t xml:space="preserve"> (7.0%) in Nov &amp; Dec. </t>
    </r>
  </si>
  <si>
    <t>Owens, A</t>
  </si>
  <si>
    <t>Daniel, D. (20-25 hr/wk)</t>
  </si>
  <si>
    <t>Hill, Alec(9 hr)</t>
  </si>
  <si>
    <t>Blackford, David (3 hr)</t>
  </si>
  <si>
    <t>McGlawn, J (15-20 hr/wk)</t>
  </si>
  <si>
    <t>$5,257.50 to Innovation Mechanical for HVAC repairs (Jan-Sep)</t>
  </si>
  <si>
    <t>Impervious Surfaces charge adds $88/mo to MSD bill + $39/qtr for 2555 (parking lot).</t>
  </si>
  <si>
    <t>Projections for 2026 Payroll/Benefits/Health</t>
  </si>
  <si>
    <t>2025 budget total</t>
  </si>
  <si>
    <t xml:space="preserve"> Devin hired 11/1/25 with no raise effective 1/1/26</t>
  </si>
  <si>
    <t>A,B</t>
  </si>
  <si>
    <t>Owens, Andrew</t>
  </si>
  <si>
    <t>Strickland, Nathan</t>
  </si>
  <si>
    <t>Daniel, Devin (20-25 hrs/wk)</t>
  </si>
  <si>
    <t>Adjust.</t>
  </si>
  <si>
    <t>Hunsaker, Tom (20 hrs/wk)</t>
  </si>
  <si>
    <t>Peterson, Jim (10 hrs/wk)</t>
  </si>
  <si>
    <t>Misc Teen (4 hr)</t>
  </si>
  <si>
    <t>Intern works 10 weeks x 40 hrs x $15.00 = $6,000 + 2 of those wks are at camp x 10 hrs OT x $22.50 = add'l $450;  $6000+450+50 rounding=$6,500.</t>
  </si>
  <si>
    <t>Prior Year 2025 Hourly 'ee rate:  Walker=$26.00, McGlawn=$20.80, Myers=$21.63, Hunsaker=$24.00, Peterson=$20.00, Briggs=$14.49, Hill=$14.20, Teen=$13.75</t>
  </si>
  <si>
    <t>Increased valuations in 2025</t>
  </si>
  <si>
    <t>Actual Jan-Sep Reg Contribution does not include $3338 In-Kind. (2025+5%)</t>
  </si>
  <si>
    <r>
      <t xml:space="preserve">$60k - $36k covered by members = $24k budget.  </t>
    </r>
    <r>
      <rPr>
        <b/>
        <sz val="8"/>
        <color rgb="FFFF0000"/>
        <rFont val="Arial"/>
        <family val="2"/>
      </rPr>
      <t>Approach More Members?</t>
    </r>
  </si>
  <si>
    <t>Options:</t>
  </si>
  <si>
    <t>No Summer Intern (6k)</t>
  </si>
  <si>
    <t>Increase contributions add'l 5% (would be 10% over 2025)</t>
  </si>
  <si>
    <t>CFS covered by more members (24k)</t>
  </si>
  <si>
    <t xml:space="preserve"> Children's minister typically works 20 hrs/week; will budget 25 hours/week to cover special events, too.</t>
  </si>
  <si>
    <t>Rent increasing from $1600/mo to $1750/mo 3/1/26</t>
  </si>
  <si>
    <r>
      <t>new min=</t>
    </r>
    <r>
      <rPr>
        <b/>
        <sz val="11"/>
        <color theme="1"/>
        <rFont val="Calibri"/>
        <family val="2"/>
        <scheme val="minor"/>
      </rPr>
      <t>$15.00</t>
    </r>
    <r>
      <rPr>
        <sz val="11"/>
        <color theme="1"/>
        <rFont val="Calibri"/>
        <family val="2"/>
        <scheme val="minor"/>
      </rPr>
      <t xml:space="preserve"> in 2026</t>
    </r>
  </si>
  <si>
    <t>.</t>
  </si>
  <si>
    <r>
      <t>Rent increasing from</t>
    </r>
    <r>
      <rPr>
        <b/>
        <sz val="8"/>
        <color rgb="FFFF0000"/>
        <rFont val="Arial"/>
        <family val="2"/>
      </rPr>
      <t xml:space="preserve"> $1,600</t>
    </r>
    <r>
      <rPr>
        <sz val="8"/>
        <color rgb="FFFF0000"/>
        <rFont val="Arial"/>
        <family val="2"/>
      </rPr>
      <t xml:space="preserve">/mo to </t>
    </r>
    <r>
      <rPr>
        <b/>
        <sz val="8"/>
        <color rgb="FFFF0000"/>
        <rFont val="Arial"/>
        <family val="2"/>
      </rPr>
      <t>$1,750</t>
    </r>
    <r>
      <rPr>
        <sz val="8"/>
        <color rgb="FFFF0000"/>
        <rFont val="Arial"/>
        <family val="2"/>
      </rPr>
      <t>/mo 3/1/26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</si>
</sst>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164" formatCode="#,##0.00;\-#,##0.00"/>
    <numFmt numFmtId="165" formatCode="0.00_);[Red]\(0.00\)"/>
    <numFmt numFmtId="166" formatCode="0_);[Red]\(0\)"/>
    <numFmt numFmtId="167" formatCode="&quot;$&quot;#,##0.00"/>
    <numFmt numFmtId="168" formatCode="#,##0.000"/>
    <numFmt numFmtId="169" formatCode="#,##0.0000"/>
  </numFmts>
  <fonts count="31" x14ac:knownFonts="1"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u/>
      <sz val="8"/>
      <color rgb="FF000000"/>
      <name val="Arial"/>
      <family val="2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theme="8" tint="-0.249977111117893"/>
      <name val="Arial"/>
      <family val="2"/>
    </font>
    <font>
      <b/>
      <sz val="10"/>
      <color theme="9" tint="-0.249977111117893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b/>
      <sz val="10"/>
      <color rgb="FF5FA82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10"/>
      <color theme="2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Arial"/>
      <family val="2"/>
    </font>
    <font>
      <sz val="8"/>
      <name val="Arial"/>
      <family val="2"/>
    </font>
    <font>
      <b/>
      <sz val="10"/>
      <color theme="1" tint="0.499984740745262"/>
      <name val="Calibri"/>
      <family val="2"/>
      <scheme val="minor"/>
    </font>
    <font>
      <b/>
      <sz val="11"/>
      <color theme="1"/>
      <name val="Calibri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rgb="FF7030A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3F6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0">
    <xf numFmtId="0" fontId="0" fillId="0" borderId="0" xfId="0"/>
    <xf numFmtId="49" fontId="1" fillId="0" borderId="0" xfId="0" applyNumberFormat="1" applyFont="1"/>
    <xf numFmtId="164" fontId="2" fillId="0" borderId="0" xfId="0" applyNumberFormat="1" applyFont="1"/>
    <xf numFmtId="49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39" fontId="2" fillId="0" borderId="0" xfId="0" applyNumberFormat="1" applyFont="1"/>
    <xf numFmtId="40" fontId="0" fillId="0" borderId="0" xfId="0" applyNumberFormat="1"/>
    <xf numFmtId="49" fontId="1" fillId="2" borderId="0" xfId="0" applyNumberFormat="1" applyFont="1" applyFill="1"/>
    <xf numFmtId="164" fontId="1" fillId="0" borderId="0" xfId="0" applyNumberFormat="1" applyFont="1"/>
    <xf numFmtId="0" fontId="1" fillId="0" borderId="0" xfId="0" quotePrefix="1" applyFont="1"/>
    <xf numFmtId="49" fontId="0" fillId="0" borderId="0" xfId="0" applyNumberFormat="1" applyAlignment="1">
      <alignment horizontal="centerContinuous"/>
    </xf>
    <xf numFmtId="49" fontId="1" fillId="2" borderId="0" xfId="0" applyNumberFormat="1" applyFont="1" applyFill="1" applyAlignment="1">
      <alignment horizontal="center"/>
    </xf>
    <xf numFmtId="0" fontId="3" fillId="0" borderId="0" xfId="0" applyFont="1"/>
    <xf numFmtId="8" fontId="1" fillId="0" borderId="0" xfId="0" applyNumberFormat="1" applyFont="1" applyAlignment="1">
      <alignment horizontal="left"/>
    </xf>
    <xf numFmtId="6" fontId="1" fillId="0" borderId="0" xfId="0" applyNumberFormat="1" applyFont="1"/>
    <xf numFmtId="49" fontId="4" fillId="0" borderId="0" xfId="0" applyNumberFormat="1" applyFont="1" applyAlignment="1">
      <alignment horizontal="center"/>
    </xf>
    <xf numFmtId="164" fontId="2" fillId="0" borderId="1" xfId="0" applyNumberFormat="1" applyFont="1" applyBorder="1"/>
    <xf numFmtId="49" fontId="1" fillId="7" borderId="0" xfId="0" applyNumberFormat="1" applyFont="1" applyFill="1"/>
    <xf numFmtId="164" fontId="6" fillId="0" borderId="0" xfId="0" applyNumberFormat="1" applyFont="1"/>
    <xf numFmtId="164" fontId="2" fillId="0" borderId="2" xfId="0" applyNumberFormat="1" applyFont="1" applyBorder="1"/>
    <xf numFmtId="164" fontId="2" fillId="0" borderId="4" xfId="0" applyNumberFormat="1" applyFont="1" applyBorder="1"/>
    <xf numFmtId="164" fontId="1" fillId="0" borderId="5" xfId="0" applyNumberFormat="1" applyFont="1" applyBorder="1"/>
    <xf numFmtId="49" fontId="1" fillId="0" borderId="6" xfId="0" applyNumberFormat="1" applyFont="1" applyBorder="1" applyAlignment="1">
      <alignment horizontal="center"/>
    </xf>
    <xf numFmtId="49" fontId="8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12" fillId="0" borderId="0" xfId="0" applyNumberFormat="1" applyFont="1" applyAlignment="1">
      <alignment horizontal="center"/>
    </xf>
    <xf numFmtId="49" fontId="13" fillId="0" borderId="0" xfId="0" applyNumberFormat="1" applyFont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0" fontId="0" fillId="2" borderId="0" xfId="0" applyFill="1"/>
    <xf numFmtId="49" fontId="2" fillId="0" borderId="0" xfId="0" applyNumberFormat="1" applyFont="1"/>
    <xf numFmtId="3" fontId="2" fillId="7" borderId="2" xfId="0" applyNumberFormat="1" applyFont="1" applyFill="1" applyBorder="1"/>
    <xf numFmtId="3" fontId="2" fillId="4" borderId="4" xfId="0" applyNumberFormat="1" applyFont="1" applyFill="1" applyBorder="1"/>
    <xf numFmtId="3" fontId="2" fillId="0" borderId="0" xfId="0" applyNumberFormat="1" applyFont="1"/>
    <xf numFmtId="3" fontId="2" fillId="7" borderId="0" xfId="0" applyNumberFormat="1" applyFont="1" applyFill="1"/>
    <xf numFmtId="3" fontId="2" fillId="7" borderId="4" xfId="0" applyNumberFormat="1" applyFont="1" applyFill="1" applyBorder="1"/>
    <xf numFmtId="3" fontId="2" fillId="6" borderId="4" xfId="0" applyNumberFormat="1" applyFont="1" applyFill="1" applyBorder="1"/>
    <xf numFmtId="3" fontId="2" fillId="6" borderId="2" xfId="0" applyNumberFormat="1" applyFont="1" applyFill="1" applyBorder="1"/>
    <xf numFmtId="3" fontId="2" fillId="3" borderId="2" xfId="0" applyNumberFormat="1" applyFont="1" applyFill="1" applyBorder="1"/>
    <xf numFmtId="3" fontId="1" fillId="4" borderId="5" xfId="0" applyNumberFormat="1" applyFont="1" applyFill="1" applyBorder="1"/>
    <xf numFmtId="3" fontId="0" fillId="2" borderId="0" xfId="0" applyNumberFormat="1" applyFill="1"/>
    <xf numFmtId="49" fontId="13" fillId="0" borderId="9" xfId="0" applyNumberFormat="1" applyFont="1" applyBorder="1" applyAlignment="1">
      <alignment horizontal="center"/>
    </xf>
    <xf numFmtId="49" fontId="17" fillId="0" borderId="9" xfId="0" applyNumberFormat="1" applyFont="1" applyBorder="1" applyAlignment="1">
      <alignment horizontal="center"/>
    </xf>
    <xf numFmtId="49" fontId="17" fillId="0" borderId="10" xfId="0" applyNumberFormat="1" applyFont="1" applyBorder="1" applyAlignment="1">
      <alignment horizontal="center"/>
    </xf>
    <xf numFmtId="39" fontId="2" fillId="0" borderId="8" xfId="0" applyNumberFormat="1" applyFont="1" applyBorder="1"/>
    <xf numFmtId="39" fontId="2" fillId="0" borderId="9" xfId="0" applyNumberFormat="1" applyFont="1" applyBorder="1"/>
    <xf numFmtId="39" fontId="1" fillId="0" borderId="0" xfId="0" applyNumberFormat="1" applyFont="1"/>
    <xf numFmtId="39" fontId="1" fillId="0" borderId="9" xfId="0" applyNumberFormat="1" applyFont="1" applyBorder="1"/>
    <xf numFmtId="164" fontId="2" fillId="0" borderId="9" xfId="0" applyNumberFormat="1" applyFont="1" applyBorder="1"/>
    <xf numFmtId="3" fontId="2" fillId="7" borderId="11" xfId="0" applyNumberFormat="1" applyFont="1" applyFill="1" applyBorder="1"/>
    <xf numFmtId="3" fontId="2" fillId="4" borderId="12" xfId="0" applyNumberFormat="1" applyFont="1" applyFill="1" applyBorder="1"/>
    <xf numFmtId="3" fontId="2" fillId="0" borderId="9" xfId="0" applyNumberFormat="1" applyFont="1" applyBorder="1"/>
    <xf numFmtId="3" fontId="2" fillId="7" borderId="9" xfId="0" applyNumberFormat="1" applyFont="1" applyFill="1" applyBorder="1"/>
    <xf numFmtId="3" fontId="2" fillId="7" borderId="12" xfId="0" applyNumberFormat="1" applyFont="1" applyFill="1" applyBorder="1"/>
    <xf numFmtId="3" fontId="2" fillId="6" borderId="12" xfId="0" applyNumberFormat="1" applyFont="1" applyFill="1" applyBorder="1"/>
    <xf numFmtId="3" fontId="2" fillId="6" borderId="11" xfId="0" applyNumberFormat="1" applyFont="1" applyFill="1" applyBorder="1"/>
    <xf numFmtId="3" fontId="2" fillId="3" borderId="11" xfId="0" applyNumberFormat="1" applyFont="1" applyFill="1" applyBorder="1"/>
    <xf numFmtId="3" fontId="1" fillId="4" borderId="14" xfId="0" applyNumberFormat="1" applyFont="1" applyFill="1" applyBorder="1"/>
    <xf numFmtId="3" fontId="0" fillId="2" borderId="9" xfId="0" applyNumberFormat="1" applyFill="1" applyBorder="1"/>
    <xf numFmtId="0" fontId="0" fillId="0" borderId="15" xfId="0" applyBorder="1"/>
    <xf numFmtId="49" fontId="7" fillId="0" borderId="15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164" fontId="6" fillId="0" borderId="15" xfId="0" applyNumberFormat="1" applyFont="1" applyBorder="1"/>
    <xf numFmtId="164" fontId="2" fillId="0" borderId="15" xfId="0" applyNumberFormat="1" applyFont="1" applyBorder="1"/>
    <xf numFmtId="39" fontId="1" fillId="0" borderId="15" xfId="0" applyNumberFormat="1" applyFont="1" applyBorder="1"/>
    <xf numFmtId="49" fontId="13" fillId="0" borderId="15" xfId="0" applyNumberFormat="1" applyFont="1" applyBorder="1" applyAlignment="1">
      <alignment horizontal="center"/>
    </xf>
    <xf numFmtId="49" fontId="12" fillId="0" borderId="15" xfId="0" applyNumberFormat="1" applyFont="1" applyBorder="1" applyAlignment="1">
      <alignment horizontal="center"/>
    </xf>
    <xf numFmtId="49" fontId="1" fillId="0" borderId="1" xfId="0" applyNumberFormat="1" applyFont="1" applyBorder="1"/>
    <xf numFmtId="49" fontId="1" fillId="0" borderId="19" xfId="0" applyNumberFormat="1" applyFont="1" applyBorder="1"/>
    <xf numFmtId="49" fontId="1" fillId="7" borderId="4" xfId="0" applyNumberFormat="1" applyFont="1" applyFill="1" applyBorder="1"/>
    <xf numFmtId="49" fontId="1" fillId="7" borderId="18" xfId="0" applyNumberFormat="1" applyFont="1" applyFill="1" applyBorder="1"/>
    <xf numFmtId="49" fontId="1" fillId="4" borderId="4" xfId="0" applyNumberFormat="1" applyFont="1" applyFill="1" applyBorder="1"/>
    <xf numFmtId="49" fontId="1" fillId="4" borderId="18" xfId="0" applyNumberFormat="1" applyFont="1" applyFill="1" applyBorder="1"/>
    <xf numFmtId="49" fontId="1" fillId="6" borderId="4" xfId="0" applyNumberFormat="1" applyFont="1" applyFill="1" applyBorder="1"/>
    <xf numFmtId="49" fontId="1" fillId="6" borderId="18" xfId="0" applyNumberFormat="1" applyFont="1" applyFill="1" applyBorder="1"/>
    <xf numFmtId="49" fontId="1" fillId="3" borderId="4" xfId="0" applyNumberFormat="1" applyFont="1" applyFill="1" applyBorder="1"/>
    <xf numFmtId="49" fontId="1" fillId="5" borderId="18" xfId="0" applyNumberFormat="1" applyFont="1" applyFill="1" applyBorder="1"/>
    <xf numFmtId="49" fontId="1" fillId="4" borderId="5" xfId="0" applyNumberFormat="1" applyFont="1" applyFill="1" applyBorder="1"/>
    <xf numFmtId="49" fontId="1" fillId="4" borderId="20" xfId="0" applyNumberFormat="1" applyFont="1" applyFill="1" applyBorder="1"/>
    <xf numFmtId="49" fontId="15" fillId="0" borderId="0" xfId="0" applyNumberFormat="1" applyFont="1"/>
    <xf numFmtId="1" fontId="13" fillId="0" borderId="9" xfId="0" applyNumberFormat="1" applyFont="1" applyBorder="1" applyAlignment="1">
      <alignment horizontal="center"/>
    </xf>
    <xf numFmtId="1" fontId="9" fillId="0" borderId="9" xfId="0" applyNumberFormat="1" applyFont="1" applyBorder="1" applyAlignment="1">
      <alignment horizontal="center"/>
    </xf>
    <xf numFmtId="1" fontId="10" fillId="0" borderId="10" xfId="0" applyNumberFormat="1" applyFont="1" applyBorder="1" applyAlignment="1">
      <alignment horizontal="center"/>
    </xf>
    <xf numFmtId="1" fontId="2" fillId="0" borderId="9" xfId="0" applyNumberFormat="1" applyFont="1" applyBorder="1"/>
    <xf numFmtId="1" fontId="1" fillId="0" borderId="9" xfId="0" applyNumberFormat="1" applyFont="1" applyBorder="1"/>
    <xf numFmtId="1" fontId="0" fillId="0" borderId="0" xfId="0" applyNumberFormat="1"/>
    <xf numFmtId="2" fontId="0" fillId="0" borderId="0" xfId="0" applyNumberFormat="1"/>
    <xf numFmtId="165" fontId="0" fillId="0" borderId="0" xfId="0" applyNumberFormat="1"/>
    <xf numFmtId="38" fontId="2" fillId="10" borderId="0" xfId="0" applyNumberFormat="1" applyFont="1" applyFill="1"/>
    <xf numFmtId="38" fontId="16" fillId="14" borderId="9" xfId="0" applyNumberFormat="1" applyFont="1" applyFill="1" applyBorder="1"/>
    <xf numFmtId="38" fontId="2" fillId="11" borderId="0" xfId="0" applyNumberFormat="1" applyFont="1" applyFill="1"/>
    <xf numFmtId="38" fontId="2" fillId="8" borderId="15" xfId="0" applyNumberFormat="1" applyFont="1" applyFill="1" applyBorder="1"/>
    <xf numFmtId="38" fontId="2" fillId="10" borderId="19" xfId="0" applyNumberFormat="1" applyFont="1" applyFill="1" applyBorder="1"/>
    <xf numFmtId="38" fontId="2" fillId="7" borderId="11" xfId="0" applyNumberFormat="1" applyFont="1" applyFill="1" applyBorder="1"/>
    <xf numFmtId="38" fontId="2" fillId="7" borderId="2" xfId="0" applyNumberFormat="1" applyFont="1" applyFill="1" applyBorder="1"/>
    <xf numFmtId="38" fontId="2" fillId="7" borderId="17" xfId="0" applyNumberFormat="1" applyFont="1" applyFill="1" applyBorder="1"/>
    <xf numFmtId="38" fontId="2" fillId="4" borderId="12" xfId="0" applyNumberFormat="1" applyFont="1" applyFill="1" applyBorder="1"/>
    <xf numFmtId="38" fontId="2" fillId="4" borderId="4" xfId="0" applyNumberFormat="1" applyFont="1" applyFill="1" applyBorder="1"/>
    <xf numFmtId="38" fontId="2" fillId="4" borderId="18" xfId="0" applyNumberFormat="1" applyFont="1" applyFill="1" applyBorder="1"/>
    <xf numFmtId="38" fontId="2" fillId="0" borderId="9" xfId="0" applyNumberFormat="1" applyFont="1" applyBorder="1"/>
    <xf numFmtId="38" fontId="2" fillId="0" borderId="0" xfId="0" applyNumberFormat="1" applyFont="1"/>
    <xf numFmtId="38" fontId="2" fillId="0" borderId="15" xfId="0" applyNumberFormat="1" applyFont="1" applyBorder="1"/>
    <xf numFmtId="38" fontId="2" fillId="14" borderId="9" xfId="0" applyNumberFormat="1" applyFont="1" applyFill="1" applyBorder="1"/>
    <xf numFmtId="38" fontId="2" fillId="14" borderId="13" xfId="0" applyNumberFormat="1" applyFont="1" applyFill="1" applyBorder="1"/>
    <xf numFmtId="38" fontId="2" fillId="11" borderId="1" xfId="0" applyNumberFormat="1" applyFont="1" applyFill="1" applyBorder="1"/>
    <xf numFmtId="38" fontId="2" fillId="8" borderId="19" xfId="0" applyNumberFormat="1" applyFont="1" applyFill="1" applyBorder="1"/>
    <xf numFmtId="38" fontId="2" fillId="7" borderId="9" xfId="0" applyNumberFormat="1" applyFont="1" applyFill="1" applyBorder="1"/>
    <xf numFmtId="38" fontId="2" fillId="7" borderId="0" xfId="0" applyNumberFormat="1" applyFont="1" applyFill="1"/>
    <xf numFmtId="38" fontId="2" fillId="7" borderId="15" xfId="0" applyNumberFormat="1" applyFont="1" applyFill="1" applyBorder="1"/>
    <xf numFmtId="38" fontId="2" fillId="7" borderId="12" xfId="0" applyNumberFormat="1" applyFont="1" applyFill="1" applyBorder="1"/>
    <xf numFmtId="38" fontId="2" fillId="7" borderId="4" xfId="0" applyNumberFormat="1" applyFont="1" applyFill="1" applyBorder="1"/>
    <xf numFmtId="38" fontId="2" fillId="7" borderId="18" xfId="0" applyNumberFormat="1" applyFont="1" applyFill="1" applyBorder="1"/>
    <xf numFmtId="38" fontId="2" fillId="6" borderId="12" xfId="0" applyNumberFormat="1" applyFont="1" applyFill="1" applyBorder="1"/>
    <xf numFmtId="38" fontId="2" fillId="6" borderId="4" xfId="0" applyNumberFormat="1" applyFont="1" applyFill="1" applyBorder="1"/>
    <xf numFmtId="38" fontId="2" fillId="6" borderId="18" xfId="0" applyNumberFormat="1" applyFont="1" applyFill="1" applyBorder="1"/>
    <xf numFmtId="38" fontId="2" fillId="10" borderId="1" xfId="0" applyNumberFormat="1" applyFont="1" applyFill="1" applyBorder="1"/>
    <xf numFmtId="38" fontId="2" fillId="6" borderId="11" xfId="0" applyNumberFormat="1" applyFont="1" applyFill="1" applyBorder="1"/>
    <xf numFmtId="38" fontId="2" fillId="6" borderId="2" xfId="0" applyNumberFormat="1" applyFont="1" applyFill="1" applyBorder="1"/>
    <xf numFmtId="38" fontId="2" fillId="6" borderId="17" xfId="0" applyNumberFormat="1" applyFont="1" applyFill="1" applyBorder="1"/>
    <xf numFmtId="38" fontId="2" fillId="3" borderId="11" xfId="0" applyNumberFormat="1" applyFont="1" applyFill="1" applyBorder="1"/>
    <xf numFmtId="38" fontId="2" fillId="3" borderId="2" xfId="0" applyNumberFormat="1" applyFont="1" applyFill="1" applyBorder="1"/>
    <xf numFmtId="38" fontId="2" fillId="3" borderId="17" xfId="0" applyNumberFormat="1" applyFont="1" applyFill="1" applyBorder="1"/>
    <xf numFmtId="38" fontId="1" fillId="4" borderId="14" xfId="0" applyNumberFormat="1" applyFont="1" applyFill="1" applyBorder="1"/>
    <xf numFmtId="38" fontId="1" fillId="4" borderId="5" xfId="0" applyNumberFormat="1" applyFont="1" applyFill="1" applyBorder="1"/>
    <xf numFmtId="38" fontId="1" fillId="4" borderId="20" xfId="0" applyNumberFormat="1" applyFont="1" applyFill="1" applyBorder="1"/>
    <xf numFmtId="38" fontId="0" fillId="2" borderId="9" xfId="0" applyNumberFormat="1" applyFill="1" applyBorder="1"/>
    <xf numFmtId="38" fontId="0" fillId="2" borderId="0" xfId="0" applyNumberFormat="1" applyFill="1"/>
    <xf numFmtId="38" fontId="0" fillId="2" borderId="15" xfId="0" applyNumberFormat="1" applyFill="1" applyBorder="1"/>
    <xf numFmtId="38" fontId="5" fillId="0" borderId="0" xfId="0" applyNumberFormat="1" applyFont="1"/>
    <xf numFmtId="38" fontId="2" fillId="12" borderId="0" xfId="0" applyNumberFormat="1" applyFont="1" applyFill="1"/>
    <xf numFmtId="38" fontId="2" fillId="13" borderId="15" xfId="0" applyNumberFormat="1" applyFont="1" applyFill="1" applyBorder="1"/>
    <xf numFmtId="38" fontId="2" fillId="12" borderId="1" xfId="0" applyNumberFormat="1" applyFont="1" applyFill="1" applyBorder="1"/>
    <xf numFmtId="38" fontId="2" fillId="13" borderId="19" xfId="0" applyNumberFormat="1" applyFont="1" applyFill="1" applyBorder="1"/>
    <xf numFmtId="38" fontId="2" fillId="3" borderId="0" xfId="0" applyNumberFormat="1" applyFont="1" applyFill="1"/>
    <xf numFmtId="38" fontId="2" fillId="3" borderId="15" xfId="0" applyNumberFormat="1" applyFont="1" applyFill="1" applyBorder="1"/>
    <xf numFmtId="3" fontId="2" fillId="9" borderId="9" xfId="0" applyNumberFormat="1" applyFont="1" applyFill="1" applyBorder="1"/>
    <xf numFmtId="3" fontId="2" fillId="9" borderId="13" xfId="0" applyNumberFormat="1" applyFont="1" applyFill="1" applyBorder="1"/>
    <xf numFmtId="3" fontId="5" fillId="0" borderId="0" xfId="0" applyNumberFormat="1" applyFont="1"/>
    <xf numFmtId="3" fontId="0" fillId="0" borderId="0" xfId="0" applyNumberFormat="1"/>
    <xf numFmtId="166" fontId="0" fillId="0" borderId="0" xfId="0" applyNumberFormat="1"/>
    <xf numFmtId="38" fontId="2" fillId="15" borderId="0" xfId="0" applyNumberFormat="1" applyFont="1" applyFill="1"/>
    <xf numFmtId="38" fontId="2" fillId="15" borderId="13" xfId="0" applyNumberFormat="1" applyFont="1" applyFill="1" applyBorder="1"/>
    <xf numFmtId="49" fontId="12" fillId="0" borderId="10" xfId="0" applyNumberFormat="1" applyFont="1" applyBorder="1" applyAlignment="1">
      <alignment horizontal="center"/>
    </xf>
    <xf numFmtId="49" fontId="19" fillId="0" borderId="0" xfId="0" applyNumberFormat="1" applyFont="1"/>
    <xf numFmtId="167" fontId="0" fillId="0" borderId="0" xfId="0" applyNumberFormat="1" applyAlignment="1">
      <alignment horizontal="center"/>
    </xf>
    <xf numFmtId="3" fontId="0" fillId="0" borderId="0" xfId="0" quotePrefix="1" applyNumberFormat="1"/>
    <xf numFmtId="3" fontId="0" fillId="0" borderId="23" xfId="0" applyNumberFormat="1" applyBorder="1"/>
    <xf numFmtId="4" fontId="0" fillId="0" borderId="0" xfId="0" applyNumberFormat="1"/>
    <xf numFmtId="3" fontId="0" fillId="16" borderId="3" xfId="0" applyNumberFormat="1" applyFill="1" applyBorder="1"/>
    <xf numFmtId="3" fontId="0" fillId="16" borderId="0" xfId="0" applyNumberFormat="1" applyFill="1"/>
    <xf numFmtId="3" fontId="20" fillId="16" borderId="0" xfId="0" applyNumberFormat="1" applyFont="1" applyFill="1"/>
    <xf numFmtId="3" fontId="0" fillId="3" borderId="0" xfId="0" applyNumberFormat="1" applyFill="1"/>
    <xf numFmtId="3" fontId="20" fillId="3" borderId="0" xfId="0" applyNumberFormat="1" applyFont="1" applyFill="1"/>
    <xf numFmtId="167" fontId="21" fillId="0" borderId="0" xfId="0" applyNumberFormat="1" applyFont="1" applyAlignment="1">
      <alignment horizontal="center"/>
    </xf>
    <xf numFmtId="3" fontId="22" fillId="0" borderId="0" xfId="0" applyNumberFormat="1" applyFont="1"/>
    <xf numFmtId="3" fontId="14" fillId="17" borderId="0" xfId="0" applyNumberFormat="1" applyFont="1" applyFill="1"/>
    <xf numFmtId="3" fontId="0" fillId="17" borderId="0" xfId="0" applyNumberFormat="1" applyFill="1"/>
    <xf numFmtId="3" fontId="0" fillId="17" borderId="3" xfId="0" applyNumberFormat="1" applyFill="1" applyBorder="1"/>
    <xf numFmtId="3" fontId="20" fillId="17" borderId="0" xfId="0" applyNumberFormat="1" applyFont="1" applyFill="1"/>
    <xf numFmtId="168" fontId="0" fillId="0" borderId="0" xfId="0" applyNumberFormat="1"/>
    <xf numFmtId="169" fontId="0" fillId="0" borderId="0" xfId="0" applyNumberFormat="1"/>
    <xf numFmtId="3" fontId="14" fillId="18" borderId="0" xfId="0" applyNumberFormat="1" applyFont="1" applyFill="1"/>
    <xf numFmtId="3" fontId="0" fillId="18" borderId="0" xfId="0" applyNumberFormat="1" applyFill="1"/>
    <xf numFmtId="3" fontId="23" fillId="18" borderId="3" xfId="0" applyNumberFormat="1" applyFont="1" applyFill="1" applyBorder="1"/>
    <xf numFmtId="3" fontId="20" fillId="18" borderId="0" xfId="0" applyNumberFormat="1" applyFont="1" applyFill="1"/>
    <xf numFmtId="3" fontId="14" fillId="19" borderId="0" xfId="0" applyNumberFormat="1" applyFont="1" applyFill="1"/>
    <xf numFmtId="3" fontId="0" fillId="19" borderId="0" xfId="0" applyNumberFormat="1" applyFill="1"/>
    <xf numFmtId="3" fontId="0" fillId="19" borderId="0" xfId="0" quotePrefix="1" applyNumberFormat="1" applyFill="1"/>
    <xf numFmtId="3" fontId="0" fillId="19" borderId="3" xfId="0" applyNumberFormat="1" applyFill="1" applyBorder="1"/>
    <xf numFmtId="3" fontId="0" fillId="20" borderId="0" xfId="0" applyNumberFormat="1" applyFill="1"/>
    <xf numFmtId="3" fontId="24" fillId="19" borderId="0" xfId="0" applyNumberFormat="1" applyFont="1" applyFill="1"/>
    <xf numFmtId="3" fontId="14" fillId="21" borderId="0" xfId="0" applyNumberFormat="1" applyFont="1" applyFill="1" applyAlignment="1">
      <alignment horizontal="center"/>
    </xf>
    <xf numFmtId="3" fontId="14" fillId="21" borderId="0" xfId="0" applyNumberFormat="1" applyFont="1" applyFill="1"/>
    <xf numFmtId="3" fontId="0" fillId="21" borderId="0" xfId="0" applyNumberFormat="1" applyFill="1"/>
    <xf numFmtId="3" fontId="0" fillId="21" borderId="3" xfId="0" applyNumberFormat="1" applyFill="1" applyBorder="1"/>
    <xf numFmtId="3" fontId="25" fillId="21" borderId="0" xfId="0" applyNumberFormat="1" applyFont="1" applyFill="1"/>
    <xf numFmtId="3" fontId="20" fillId="21" borderId="0" xfId="0" applyNumberFormat="1" applyFont="1" applyFill="1"/>
    <xf numFmtId="3" fontId="14" fillId="0" borderId="0" xfId="0" applyNumberFormat="1" applyFont="1"/>
    <xf numFmtId="3" fontId="0" fillId="22" borderId="0" xfId="0" applyNumberFormat="1" applyFill="1"/>
    <xf numFmtId="0" fontId="22" fillId="0" borderId="0" xfId="0" applyFont="1"/>
    <xf numFmtId="3" fontId="24" fillId="20" borderId="0" xfId="0" applyNumberFormat="1" applyFont="1" applyFill="1"/>
    <xf numFmtId="3" fontId="0" fillId="20" borderId="0" xfId="0" applyNumberFormat="1" applyFill="1" applyAlignment="1">
      <alignment horizontal="right"/>
    </xf>
    <xf numFmtId="3" fontId="20" fillId="20" borderId="0" xfId="0" applyNumberFormat="1" applyFont="1" applyFill="1"/>
    <xf numFmtId="3" fontId="0" fillId="20" borderId="3" xfId="0" applyNumberFormat="1" applyFill="1" applyBorder="1"/>
    <xf numFmtId="0" fontId="26" fillId="0" borderId="0" xfId="0" applyFont="1"/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shrinkToFit="1"/>
    </xf>
    <xf numFmtId="9" fontId="0" fillId="0" borderId="3" xfId="0" applyNumberFormat="1" applyBorder="1" applyAlignment="1">
      <alignment horizontal="center"/>
    </xf>
    <xf numFmtId="0" fontId="0" fillId="0" borderId="3" xfId="0" applyBorder="1"/>
    <xf numFmtId="167" fontId="0" fillId="0" borderId="3" xfId="0" applyNumberFormat="1" applyBorder="1" applyAlignment="1">
      <alignment horizontal="center"/>
    </xf>
    <xf numFmtId="0" fontId="0" fillId="0" borderId="0" xfId="0" applyAlignment="1">
      <alignment horizontal="center" shrinkToFit="1"/>
    </xf>
    <xf numFmtId="1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0" fontId="14" fillId="0" borderId="0" xfId="0" applyFont="1"/>
    <xf numFmtId="0" fontId="27" fillId="0" borderId="3" xfId="0" applyFont="1" applyBorder="1"/>
    <xf numFmtId="3" fontId="2" fillId="9" borderId="0" xfId="0" applyNumberFormat="1" applyFont="1" applyFill="1"/>
    <xf numFmtId="3" fontId="16" fillId="9" borderId="0" xfId="0" applyNumberFormat="1" applyFont="1" applyFill="1"/>
    <xf numFmtId="3" fontId="2" fillId="9" borderId="1" xfId="0" applyNumberFormat="1" applyFont="1" applyFill="1" applyBorder="1"/>
    <xf numFmtId="0" fontId="18" fillId="0" borderId="0" xfId="0" applyFont="1" applyAlignment="1">
      <alignment vertical="center"/>
    </xf>
    <xf numFmtId="0" fontId="18" fillId="15" borderId="24" xfId="0" applyFont="1" applyFill="1" applyBorder="1" applyAlignment="1">
      <alignment horizontal="center" vertical="center"/>
    </xf>
    <xf numFmtId="38" fontId="2" fillId="3" borderId="2" xfId="0" applyNumberFormat="1" applyFont="1" applyFill="1" applyBorder="1" applyAlignment="1">
      <alignment horizontal="right"/>
    </xf>
    <xf numFmtId="3" fontId="23" fillId="18" borderId="0" xfId="0" applyNumberFormat="1" applyFont="1" applyFill="1"/>
    <xf numFmtId="3" fontId="14" fillId="18" borderId="23" xfId="0" applyNumberFormat="1" applyFont="1" applyFill="1" applyBorder="1"/>
    <xf numFmtId="8" fontId="0" fillId="0" borderId="0" xfId="0" applyNumberFormat="1"/>
    <xf numFmtId="38" fontId="2" fillId="9" borderId="9" xfId="0" applyNumberFormat="1" applyFont="1" applyFill="1" applyBorder="1"/>
    <xf numFmtId="38" fontId="2" fillId="9" borderId="0" xfId="0" applyNumberFormat="1" applyFont="1" applyFill="1"/>
    <xf numFmtId="38" fontId="14" fillId="2" borderId="0" xfId="0" applyNumberFormat="1" applyFont="1" applyFill="1"/>
    <xf numFmtId="38" fontId="14" fillId="2" borderId="15" xfId="0" applyNumberFormat="1" applyFont="1" applyFill="1" applyBorder="1"/>
    <xf numFmtId="49" fontId="1" fillId="20" borderId="0" xfId="0" applyNumberFormat="1" applyFont="1" applyFill="1"/>
    <xf numFmtId="164" fontId="2" fillId="20" borderId="0" xfId="0" applyNumberFormat="1" applyFont="1" applyFill="1"/>
    <xf numFmtId="49" fontId="30" fillId="0" borderId="0" xfId="0" applyNumberFormat="1" applyFont="1"/>
    <xf numFmtId="49" fontId="30" fillId="0" borderId="1" xfId="0" applyNumberFormat="1" applyFont="1" applyBorder="1"/>
    <xf numFmtId="49" fontId="30" fillId="0" borderId="19" xfId="0" applyNumberFormat="1" applyFont="1" applyBorder="1"/>
    <xf numFmtId="38" fontId="30" fillId="10" borderId="0" xfId="0" applyNumberFormat="1" applyFont="1" applyFill="1"/>
    <xf numFmtId="38" fontId="30" fillId="10" borderId="19" xfId="0" applyNumberFormat="1" applyFont="1" applyFill="1" applyBorder="1"/>
    <xf numFmtId="6" fontId="14" fillId="2" borderId="9" xfId="0" applyNumberFormat="1" applyFont="1" applyFill="1" applyBorder="1"/>
    <xf numFmtId="6" fontId="14" fillId="2" borderId="0" xfId="0" applyNumberFormat="1" applyFont="1" applyFill="1"/>
    <xf numFmtId="6" fontId="0" fillId="2" borderId="9" xfId="0" applyNumberFormat="1" applyFill="1" applyBorder="1"/>
    <xf numFmtId="6" fontId="0" fillId="2" borderId="0" xfId="0" applyNumberFormat="1" applyFill="1"/>
    <xf numFmtId="6" fontId="14" fillId="2" borderId="25" xfId="0" applyNumberFormat="1" applyFont="1" applyFill="1" applyBorder="1"/>
    <xf numFmtId="6" fontId="1" fillId="4" borderId="4" xfId="0" applyNumberFormat="1" applyFont="1" applyFill="1" applyBorder="1"/>
    <xf numFmtId="0" fontId="14" fillId="15" borderId="7" xfId="0" applyFont="1" applyFill="1" applyBorder="1" applyAlignment="1">
      <alignment horizontal="center" vertical="center"/>
    </xf>
    <xf numFmtId="0" fontId="14" fillId="15" borderId="21" xfId="0" applyFont="1" applyFill="1" applyBorder="1" applyAlignment="1">
      <alignment horizontal="center" vertical="center"/>
    </xf>
    <xf numFmtId="0" fontId="14" fillId="15" borderId="22" xfId="0" applyFont="1" applyFill="1" applyBorder="1" applyAlignment="1">
      <alignment horizontal="center" vertical="center"/>
    </xf>
    <xf numFmtId="0" fontId="18" fillId="15" borderId="7" xfId="0" applyFont="1" applyFill="1" applyBorder="1" applyAlignment="1">
      <alignment horizontal="center" vertical="center"/>
    </xf>
    <xf numFmtId="0" fontId="18" fillId="15" borderId="21" xfId="0" applyFont="1" applyFill="1" applyBorder="1" applyAlignment="1">
      <alignment horizontal="center" vertical="center"/>
    </xf>
    <xf numFmtId="0" fontId="18" fillId="15" borderId="2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3F6DA"/>
      <color rgb="FFDBEFF9"/>
      <color rgb="FFE2EFD5"/>
      <color rgb="FFD8FED2"/>
      <color rgb="FFEBF6FF"/>
      <color rgb="FFDDF0FF"/>
      <color rgb="FFE1F5FF"/>
      <color rgb="FFE2FEE2"/>
      <color rgb="FFE0FFD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6</xdr:col>
      <xdr:colOff>400050</xdr:colOff>
      <xdr:row>2</xdr:row>
      <xdr:rowOff>28575</xdr:rowOff>
    </xdr:to>
    <xdr:sp macro="" textlink="">
      <xdr:nvSpPr>
        <xdr:cNvPr id="1025" name="FILTER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6</xdr:col>
      <xdr:colOff>400050</xdr:colOff>
      <xdr:row>2</xdr:row>
      <xdr:rowOff>28575</xdr:rowOff>
    </xdr:to>
    <xdr:sp macro="" textlink="">
      <xdr:nvSpPr>
        <xdr:cNvPr id="1026" name="HEADER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6</xdr:col>
      <xdr:colOff>400050</xdr:colOff>
      <xdr:row>2</xdr:row>
      <xdr:rowOff>28575</xdr:rowOff>
    </xdr:to>
    <xdr:pic>
      <xdr:nvPicPr>
        <xdr:cNvPr id="2" name="FILTER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6</xdr:col>
      <xdr:colOff>400050</xdr:colOff>
      <xdr:row>2</xdr:row>
      <xdr:rowOff>28575</xdr:rowOff>
    </xdr:to>
    <xdr:pic>
      <xdr:nvPicPr>
        <xdr:cNvPr id="3" name="HEADER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6</xdr:col>
      <xdr:colOff>371475</xdr:colOff>
      <xdr:row>2</xdr:row>
      <xdr:rowOff>38100</xdr:rowOff>
    </xdr:to>
    <xdr:sp macro="" textlink="">
      <xdr:nvSpPr>
        <xdr:cNvPr id="2" name="FILTER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E64D5EA-5FCA-4D84-9E42-CE6686AE75E3}"/>
            </a:ext>
          </a:extLst>
        </xdr:cNvPr>
        <xdr:cNvSpPr/>
      </xdr:nvSpPr>
      <xdr:spPr>
        <a:xfrm>
          <a:off x="0" y="190500"/>
          <a:ext cx="885825" cy="22860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6</xdr:col>
      <xdr:colOff>371475</xdr:colOff>
      <xdr:row>2</xdr:row>
      <xdr:rowOff>38100</xdr:rowOff>
    </xdr:to>
    <xdr:sp macro="" textlink="">
      <xdr:nvSpPr>
        <xdr:cNvPr id="3" name="HEADER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887A9E35-08BB-42B1-87E1-CE10610DAE44}"/>
            </a:ext>
          </a:extLst>
        </xdr:cNvPr>
        <xdr:cNvSpPr/>
      </xdr:nvSpPr>
      <xdr:spPr>
        <a:xfrm>
          <a:off x="0" y="190500"/>
          <a:ext cx="885825" cy="228600"/>
        </a:xfrm>
        <a:prstGeom prst="rect">
          <a:avLst/>
        </a:prstGeom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6</xdr:col>
      <xdr:colOff>371475</xdr:colOff>
      <xdr:row>2</xdr:row>
      <xdr:rowOff>38100</xdr:rowOff>
    </xdr:to>
    <xdr:pic>
      <xdr:nvPicPr>
        <xdr:cNvPr id="4" name="FILTER" hidden="1">
          <a:extLst>
            <a:ext uri="{FF2B5EF4-FFF2-40B4-BE49-F238E27FC236}">
              <a16:creationId xmlns:a16="http://schemas.microsoft.com/office/drawing/2014/main" id="{89DE9818-C87B-4393-B88C-2C932D7D1B4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8858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6</xdr:col>
      <xdr:colOff>371475</xdr:colOff>
      <xdr:row>2</xdr:row>
      <xdr:rowOff>38100</xdr:rowOff>
    </xdr:to>
    <xdr:pic>
      <xdr:nvPicPr>
        <xdr:cNvPr id="5" name="HEADER" hidden="1">
          <a:extLst>
            <a:ext uri="{FF2B5EF4-FFF2-40B4-BE49-F238E27FC236}">
              <a16:creationId xmlns:a16="http://schemas.microsoft.com/office/drawing/2014/main" id="{A3169E00-DC8A-4278-BE9D-CEFC97BC70B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8858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DG155"/>
  <sheetViews>
    <sheetView tabSelected="1" zoomScaleNormal="100" workbookViewId="0">
      <pane xSplit="7" ySplit="5" topLeftCell="H22" activePane="bottomRight" state="frozenSplit"/>
      <selection pane="topRight" activeCell="H1" sqref="H1"/>
      <selection pane="bottomLeft" activeCell="A3" sqref="A3"/>
      <selection pane="bottomRight" activeCell="H10" sqref="H10"/>
    </sheetView>
  </sheetViews>
  <sheetFormatPr defaultColWidth="8.7109375" defaultRowHeight="15" x14ac:dyDescent="0.25"/>
  <cols>
    <col min="1" max="3" width="0.7109375" style="5" customWidth="1"/>
    <col min="4" max="6" width="1.7109375" style="5" customWidth="1"/>
    <col min="7" max="7" width="32" style="5" customWidth="1"/>
    <col min="8" max="8" width="8.7109375" style="87" customWidth="1"/>
    <col min="9" max="15" width="8.7109375" customWidth="1"/>
    <col min="16" max="18" width="11" bestFit="1" customWidth="1"/>
    <col min="19" max="19" width="2.140625" customWidth="1"/>
    <col min="20" max="20" width="45.7109375" customWidth="1"/>
    <col min="21" max="21" width="4.7109375" customWidth="1"/>
    <col min="22" max="22" width="2.28515625" customWidth="1"/>
    <col min="23" max="23" width="2.7109375" customWidth="1"/>
    <col min="24" max="27" width="1.7109375" customWidth="1"/>
    <col min="28" max="28" width="2.7109375" customWidth="1"/>
    <col min="29" max="29" width="3.7109375" customWidth="1"/>
    <col min="30" max="30" width="32.7109375" customWidth="1"/>
    <col min="31" max="31" width="9.7109375" customWidth="1"/>
    <col min="32" max="32" width="6.7109375" customWidth="1"/>
    <col min="33" max="37" width="1.7109375" customWidth="1"/>
    <col min="38" max="38" width="2.7109375" customWidth="1"/>
    <col min="39" max="39" width="3.7109375" customWidth="1"/>
    <col min="40" max="40" width="32.7109375" customWidth="1"/>
    <col min="41" max="41" width="9.7109375" customWidth="1"/>
    <col min="42" max="42" width="6.7109375" customWidth="1"/>
    <col min="43" max="47" width="1.7109375" customWidth="1"/>
    <col min="48" max="48" width="2.7109375" customWidth="1"/>
    <col min="49" max="49" width="3.7109375" customWidth="1"/>
    <col min="50" max="50" width="32.7109375" customWidth="1"/>
    <col min="51" max="51" width="9.7109375" customWidth="1"/>
    <col min="52" max="52" width="6.7109375" customWidth="1"/>
    <col min="53" max="57" width="1.7109375" customWidth="1"/>
    <col min="58" max="58" width="2.7109375" customWidth="1"/>
    <col min="59" max="59" width="3.7109375" customWidth="1"/>
    <col min="60" max="60" width="32.7109375" customWidth="1"/>
    <col min="61" max="61" width="9.7109375" customWidth="1"/>
    <col min="62" max="62" width="6.7109375" customWidth="1"/>
    <col min="63" max="67" width="1.7109375" customWidth="1"/>
    <col min="68" max="68" width="2.7109375" customWidth="1"/>
    <col min="69" max="69" width="3.7109375" customWidth="1"/>
    <col min="70" max="70" width="32.7109375" customWidth="1"/>
    <col min="71" max="71" width="9.7109375" customWidth="1"/>
    <col min="72" max="72" width="6.7109375" customWidth="1"/>
    <col min="73" max="77" width="1.7109375" customWidth="1"/>
    <col min="78" max="78" width="2.7109375" customWidth="1"/>
    <col min="79" max="79" width="3.7109375" customWidth="1"/>
    <col min="80" max="80" width="32.7109375" customWidth="1"/>
    <col min="81" max="81" width="9.7109375" customWidth="1"/>
    <col min="82" max="82" width="6.7109375" customWidth="1"/>
    <col min="83" max="87" width="1.7109375" customWidth="1"/>
    <col min="88" max="88" width="2.7109375" customWidth="1"/>
    <col min="89" max="89" width="3.7109375" customWidth="1"/>
    <col min="90" max="90" width="32.7109375" customWidth="1"/>
    <col min="91" max="91" width="9.7109375" customWidth="1"/>
    <col min="92" max="92" width="6.7109375" customWidth="1"/>
    <col min="93" max="97" width="1.7109375" customWidth="1"/>
    <col min="98" max="98" width="2.7109375" customWidth="1"/>
    <col min="99" max="99" width="3.7109375" customWidth="1"/>
    <col min="100" max="100" width="32.7109375" customWidth="1"/>
    <col min="101" max="101" width="9.7109375" customWidth="1"/>
    <col min="102" max="102" width="6.7109375" customWidth="1"/>
    <col min="103" max="107" width="1.7109375" customWidth="1"/>
    <col min="108" max="108" width="2.7109375" customWidth="1"/>
    <col min="109" max="109" width="3.7109375" customWidth="1"/>
    <col min="110" max="110" width="32.7109375" customWidth="1"/>
    <col min="111" max="111" width="9.7109375" customWidth="1"/>
    <col min="112" max="112" width="6.7109375" customWidth="1"/>
  </cols>
  <sheetData>
    <row r="2" spans="1:111" ht="15.75" customHeight="1" x14ac:dyDescent="0.25">
      <c r="A2" s="1"/>
      <c r="B2" s="1"/>
      <c r="C2" s="1"/>
      <c r="D2" s="1"/>
      <c r="E2" s="1"/>
      <c r="F2" s="1"/>
      <c r="G2" s="1"/>
      <c r="H2" s="224" t="s">
        <v>135</v>
      </c>
      <c r="I2" s="225"/>
      <c r="J2" s="225"/>
      <c r="K2" s="225"/>
      <c r="L2" s="226"/>
      <c r="M2" s="224" t="s">
        <v>136</v>
      </c>
      <c r="N2" s="225"/>
      <c r="O2" s="225"/>
      <c r="P2" s="227" t="s">
        <v>137</v>
      </c>
      <c r="Q2" s="228"/>
      <c r="R2" s="229"/>
      <c r="T2" s="202" t="s">
        <v>230</v>
      </c>
      <c r="U2" s="201"/>
      <c r="V2" s="201"/>
    </row>
    <row r="3" spans="1:111" ht="13.15" customHeight="1" x14ac:dyDescent="0.25">
      <c r="A3" s="1"/>
      <c r="B3" s="1"/>
      <c r="C3" s="1"/>
      <c r="D3" s="1"/>
      <c r="E3" s="1"/>
      <c r="F3" s="1"/>
      <c r="G3" s="1"/>
      <c r="H3" s="82" t="s">
        <v>130</v>
      </c>
      <c r="I3" s="28" t="s">
        <v>131</v>
      </c>
      <c r="J3" s="28" t="s">
        <v>134</v>
      </c>
      <c r="K3" s="28" t="s">
        <v>138</v>
      </c>
      <c r="L3" s="28" t="s">
        <v>142</v>
      </c>
      <c r="M3" s="43"/>
      <c r="O3" s="61"/>
      <c r="P3" s="28" t="s">
        <v>153</v>
      </c>
      <c r="Q3" s="28" t="s">
        <v>146</v>
      </c>
      <c r="R3" s="67" t="s">
        <v>145</v>
      </c>
      <c r="T3" s="16"/>
    </row>
    <row r="4" spans="1:111" ht="12" customHeight="1" x14ac:dyDescent="0.25">
      <c r="A4" s="1"/>
      <c r="B4" s="1"/>
      <c r="C4" s="1"/>
      <c r="D4" s="1"/>
      <c r="E4" s="1"/>
      <c r="F4" s="1"/>
      <c r="G4" s="1"/>
      <c r="H4" s="83" t="s">
        <v>132</v>
      </c>
      <c r="I4" s="83" t="s">
        <v>219</v>
      </c>
      <c r="J4" s="83" t="s">
        <v>219</v>
      </c>
      <c r="K4" s="83" t="s">
        <v>219</v>
      </c>
      <c r="L4" s="83" t="s">
        <v>219</v>
      </c>
      <c r="M4" s="44" t="s">
        <v>133</v>
      </c>
      <c r="N4" s="27" t="s">
        <v>143</v>
      </c>
      <c r="O4" s="62" t="s">
        <v>216</v>
      </c>
      <c r="P4" s="24" t="s">
        <v>218</v>
      </c>
      <c r="Q4" s="24" t="s">
        <v>218</v>
      </c>
      <c r="R4" s="68" t="s">
        <v>144</v>
      </c>
      <c r="T4" s="16"/>
    </row>
    <row r="5" spans="1:111" s="4" customFormat="1" ht="12" customHeight="1" thickBot="1" x14ac:dyDescent="0.3">
      <c r="A5" s="3"/>
      <c r="B5" s="3"/>
      <c r="C5" s="3"/>
      <c r="D5" s="3"/>
      <c r="E5" s="3"/>
      <c r="F5" s="3"/>
      <c r="G5" s="3"/>
      <c r="H5" s="84" t="s">
        <v>211</v>
      </c>
      <c r="I5" s="25" t="s">
        <v>212</v>
      </c>
      <c r="J5" s="25" t="s">
        <v>213</v>
      </c>
      <c r="K5" s="25" t="s">
        <v>214</v>
      </c>
      <c r="L5" s="29" t="s">
        <v>215</v>
      </c>
      <c r="M5" s="45" t="s">
        <v>124</v>
      </c>
      <c r="N5" s="30" t="s">
        <v>124</v>
      </c>
      <c r="O5" s="63" t="s">
        <v>124</v>
      </c>
      <c r="P5" s="144" t="s">
        <v>144</v>
      </c>
      <c r="Q5" s="26" t="s">
        <v>217</v>
      </c>
      <c r="R5" s="63" t="s">
        <v>217</v>
      </c>
      <c r="V5" s="1"/>
      <c r="W5" s="1" t="s">
        <v>221</v>
      </c>
      <c r="X5" s="1"/>
      <c r="Y5" s="1"/>
      <c r="Z5" s="1"/>
      <c r="AA5" s="1"/>
      <c r="AB5" s="11"/>
      <c r="AC5" s="11"/>
      <c r="AG5" s="1" t="s">
        <v>222</v>
      </c>
      <c r="AQ5" s="1" t="s">
        <v>223</v>
      </c>
      <c r="BA5" s="1" t="s">
        <v>224</v>
      </c>
      <c r="BK5" s="1" t="s">
        <v>147</v>
      </c>
      <c r="BU5" s="1" t="s">
        <v>225</v>
      </c>
      <c r="CE5" s="1" t="s">
        <v>227</v>
      </c>
      <c r="CO5" s="1" t="s">
        <v>228</v>
      </c>
      <c r="CY5" s="1" t="s">
        <v>229</v>
      </c>
    </row>
    <row r="6" spans="1:111" ht="12.75" customHeight="1" thickTop="1" thickBot="1" x14ac:dyDescent="0.3">
      <c r="A6" s="1"/>
      <c r="B6" s="1" t="s">
        <v>0</v>
      </c>
      <c r="C6" s="1"/>
      <c r="D6" s="1"/>
      <c r="E6" s="1"/>
      <c r="F6" s="1"/>
      <c r="G6" s="1"/>
      <c r="H6" s="85"/>
      <c r="I6" s="6"/>
      <c r="J6" s="6"/>
      <c r="K6" s="6"/>
      <c r="L6" s="6"/>
      <c r="M6" s="46"/>
      <c r="N6" s="6"/>
      <c r="O6" s="64"/>
      <c r="P6" s="19"/>
      <c r="Q6" s="19"/>
      <c r="R6" s="64"/>
      <c r="T6" s="1"/>
      <c r="U6" s="3"/>
      <c r="W6" s="12"/>
      <c r="X6" s="3"/>
      <c r="Y6" s="3"/>
      <c r="Z6" s="3"/>
      <c r="AA6" s="3"/>
      <c r="AB6" s="3"/>
      <c r="AC6" s="3"/>
      <c r="AD6" s="3"/>
      <c r="AE6" s="23" t="s">
        <v>220</v>
      </c>
      <c r="AG6" s="12"/>
      <c r="AH6" s="3"/>
      <c r="AI6" s="3"/>
      <c r="AJ6" s="3"/>
      <c r="AK6" s="3"/>
      <c r="AL6" s="3"/>
      <c r="AM6" s="3"/>
      <c r="AN6" s="3"/>
      <c r="AO6" s="23" t="s">
        <v>139</v>
      </c>
      <c r="AQ6" s="12"/>
      <c r="AR6" s="3"/>
      <c r="AS6" s="3"/>
      <c r="AT6" s="3"/>
      <c r="AU6" s="3"/>
      <c r="AV6" s="3"/>
      <c r="AW6" s="3"/>
      <c r="AX6" s="3"/>
      <c r="AY6" s="23" t="s">
        <v>140</v>
      </c>
      <c r="BA6" s="31"/>
      <c r="BB6" s="3"/>
      <c r="BC6" s="3"/>
      <c r="BD6" s="3"/>
      <c r="BE6" s="3"/>
      <c r="BF6" s="3"/>
      <c r="BG6" s="3"/>
      <c r="BH6" s="3"/>
      <c r="BI6" s="23" t="s">
        <v>141</v>
      </c>
      <c r="BK6" s="12"/>
      <c r="BL6" s="3"/>
      <c r="BM6" s="3"/>
      <c r="BN6" s="3"/>
      <c r="BO6" s="3"/>
      <c r="BP6" s="3"/>
      <c r="BQ6" s="3"/>
      <c r="BR6" s="3"/>
      <c r="BS6" s="23" t="s">
        <v>151</v>
      </c>
      <c r="BU6" s="31"/>
      <c r="BV6" s="3"/>
      <c r="BW6" s="3"/>
      <c r="BX6" s="3"/>
      <c r="BY6" s="3"/>
      <c r="BZ6" s="3"/>
      <c r="CA6" s="3"/>
      <c r="CB6" s="3"/>
      <c r="CC6" s="23" t="s">
        <v>226</v>
      </c>
      <c r="CE6" s="12"/>
      <c r="CF6" s="3"/>
      <c r="CG6" s="3"/>
      <c r="CH6" s="3"/>
      <c r="CI6" s="3"/>
      <c r="CJ6" s="3"/>
      <c r="CK6" s="3"/>
      <c r="CL6" s="3"/>
      <c r="CM6" s="3"/>
      <c r="CO6" s="31"/>
      <c r="CP6" s="3"/>
      <c r="CQ6" s="3"/>
      <c r="CR6" s="3"/>
      <c r="CS6" s="3"/>
      <c r="CT6" s="3"/>
      <c r="CU6" s="3"/>
      <c r="CV6" s="3"/>
      <c r="CW6" s="3"/>
      <c r="CY6" s="31"/>
      <c r="CZ6" s="1"/>
      <c r="DA6" s="1"/>
      <c r="DB6" s="1"/>
      <c r="DC6" s="1"/>
      <c r="DD6" s="1"/>
      <c r="DE6" s="1"/>
      <c r="DF6" s="1"/>
      <c r="DG6" s="1"/>
    </row>
    <row r="7" spans="1:111" ht="9" customHeight="1" thickTop="1" x14ac:dyDescent="0.25">
      <c r="A7" s="1"/>
      <c r="B7" s="1"/>
      <c r="C7" s="1"/>
      <c r="D7" s="1"/>
      <c r="E7" s="1"/>
      <c r="F7" s="1"/>
      <c r="G7" s="1"/>
      <c r="H7" s="85"/>
      <c r="I7" s="6"/>
      <c r="J7" s="6"/>
      <c r="K7" s="6"/>
      <c r="L7" s="6"/>
      <c r="M7" s="47"/>
      <c r="N7" s="6"/>
      <c r="O7" s="65"/>
      <c r="P7" s="2"/>
      <c r="Q7" s="2"/>
      <c r="R7" s="65"/>
      <c r="T7" s="1"/>
      <c r="U7" s="3"/>
      <c r="W7" s="12"/>
      <c r="X7" s="1"/>
      <c r="Y7" s="1" t="s">
        <v>0</v>
      </c>
      <c r="Z7" s="1"/>
      <c r="AA7" s="1"/>
      <c r="AB7" s="1"/>
      <c r="AC7" s="1"/>
      <c r="AD7" s="1"/>
      <c r="AE7" s="2"/>
      <c r="AG7" s="12"/>
      <c r="AH7" s="1"/>
      <c r="AI7" s="1" t="s">
        <v>0</v>
      </c>
      <c r="AJ7" s="1"/>
      <c r="AK7" s="1"/>
      <c r="AL7" s="1"/>
      <c r="AM7" s="1"/>
      <c r="AN7" s="1"/>
      <c r="AO7" s="2"/>
      <c r="AQ7" s="12"/>
      <c r="AR7" s="1"/>
      <c r="AS7" s="1" t="s">
        <v>0</v>
      </c>
      <c r="AT7" s="1"/>
      <c r="AU7" s="1"/>
      <c r="AV7" s="1"/>
      <c r="AW7" s="1"/>
      <c r="AX7" s="1"/>
      <c r="AY7" s="2"/>
      <c r="BA7" s="31"/>
      <c r="BB7" s="1"/>
      <c r="BC7" s="1" t="s">
        <v>0</v>
      </c>
      <c r="BD7" s="1"/>
      <c r="BE7" s="1"/>
      <c r="BF7" s="1"/>
      <c r="BG7" s="1"/>
      <c r="BH7" s="1"/>
      <c r="BI7" s="2"/>
      <c r="BK7" s="8"/>
      <c r="BL7" s="1"/>
      <c r="BM7" s="1" t="s">
        <v>0</v>
      </c>
      <c r="BN7" s="1"/>
      <c r="BO7" s="1"/>
      <c r="BP7" s="1"/>
      <c r="BQ7" s="1"/>
      <c r="BR7" s="1"/>
      <c r="BS7" s="2"/>
      <c r="BU7" s="31"/>
      <c r="BV7" s="1"/>
      <c r="BW7" s="1" t="s">
        <v>0</v>
      </c>
      <c r="BX7" s="1"/>
      <c r="BY7" s="1"/>
      <c r="BZ7" s="1"/>
      <c r="CA7" s="1"/>
      <c r="CB7" s="1"/>
      <c r="CC7" s="2"/>
      <c r="CE7" s="12"/>
      <c r="CF7" s="1"/>
      <c r="CG7" s="1"/>
      <c r="CH7" s="1"/>
      <c r="CI7" s="1"/>
      <c r="CJ7" s="1"/>
      <c r="CK7" s="1"/>
      <c r="CL7" s="1"/>
      <c r="CM7" s="2"/>
      <c r="CO7" s="31"/>
      <c r="CP7" s="1"/>
      <c r="CQ7" s="1"/>
      <c r="CR7" s="1"/>
      <c r="CS7" s="1"/>
      <c r="CT7" s="1"/>
      <c r="CU7" s="1"/>
      <c r="CV7" s="1"/>
      <c r="CW7" s="2"/>
      <c r="CY7" s="31"/>
      <c r="CZ7" s="1"/>
      <c r="DA7" s="1"/>
      <c r="DB7" s="1"/>
      <c r="DC7" s="1"/>
      <c r="DD7" s="1"/>
      <c r="DE7" s="1"/>
      <c r="DF7" s="1"/>
      <c r="DG7" s="2"/>
    </row>
    <row r="8" spans="1:111" ht="11.25" customHeight="1" x14ac:dyDescent="0.25">
      <c r="A8" s="1"/>
      <c r="B8" s="1"/>
      <c r="C8" s="1"/>
      <c r="D8" s="1" t="s">
        <v>1</v>
      </c>
      <c r="E8" s="1"/>
      <c r="F8" s="1"/>
      <c r="G8" s="1"/>
      <c r="H8" s="86"/>
      <c r="I8" s="48"/>
      <c r="J8" s="48"/>
      <c r="K8" s="48"/>
      <c r="L8" s="48"/>
      <c r="M8" s="49"/>
      <c r="N8" s="48"/>
      <c r="O8" s="66"/>
      <c r="P8" s="48"/>
      <c r="Q8" s="48"/>
      <c r="R8" s="66"/>
      <c r="T8" s="1"/>
      <c r="U8" s="2"/>
      <c r="W8" s="1"/>
      <c r="X8" s="1"/>
      <c r="Y8" s="1"/>
      <c r="Z8" s="1"/>
      <c r="AA8" s="1" t="s">
        <v>1</v>
      </c>
      <c r="AB8" s="1"/>
      <c r="AC8" s="1"/>
      <c r="AD8" s="1"/>
      <c r="AE8" s="2"/>
      <c r="AH8" s="1"/>
      <c r="AI8" s="1"/>
      <c r="AJ8" s="1"/>
      <c r="AK8" s="1" t="s">
        <v>1</v>
      </c>
      <c r="AL8" s="1"/>
      <c r="AM8" s="1"/>
      <c r="AN8" s="1"/>
      <c r="AO8" s="2"/>
      <c r="AQ8" s="1"/>
      <c r="AR8" s="1"/>
      <c r="AS8" s="1"/>
      <c r="AT8" s="1"/>
      <c r="AU8" s="1" t="s">
        <v>1</v>
      </c>
      <c r="AV8" s="1"/>
      <c r="AW8" s="1"/>
      <c r="AX8" s="1"/>
      <c r="AY8" s="2"/>
      <c r="BB8" s="1"/>
      <c r="BC8" s="1"/>
      <c r="BD8" s="1"/>
      <c r="BE8" s="1" t="s">
        <v>1</v>
      </c>
      <c r="BF8" s="1"/>
      <c r="BG8" s="1"/>
      <c r="BH8" s="1"/>
      <c r="BI8" s="2"/>
      <c r="BK8" s="1"/>
      <c r="BL8" s="1"/>
      <c r="BM8" s="1"/>
      <c r="BN8" s="1"/>
      <c r="BO8" s="1" t="s">
        <v>1</v>
      </c>
      <c r="BP8" s="1"/>
      <c r="BQ8" s="1"/>
      <c r="BR8" s="1"/>
      <c r="BS8" s="2"/>
      <c r="BV8" s="1"/>
      <c r="BW8" s="1"/>
      <c r="BX8" s="1"/>
      <c r="BY8" s="1" t="s">
        <v>1</v>
      </c>
      <c r="BZ8" s="1"/>
      <c r="CA8" s="1"/>
      <c r="CB8" s="1"/>
      <c r="CC8" s="2"/>
      <c r="CF8" s="1"/>
      <c r="CG8" s="1"/>
      <c r="CH8" s="1"/>
      <c r="CI8" s="1"/>
      <c r="CJ8" s="1"/>
      <c r="CK8" s="1"/>
      <c r="CL8" s="1"/>
      <c r="CM8" s="2"/>
      <c r="CP8" s="1"/>
      <c r="CQ8" s="1"/>
      <c r="CR8" s="1"/>
      <c r="CS8" s="1"/>
      <c r="CT8" s="1"/>
      <c r="CU8" s="1"/>
      <c r="CV8" s="1"/>
      <c r="CW8" s="2"/>
      <c r="CZ8" s="1"/>
      <c r="DA8" s="1"/>
      <c r="DB8" s="1"/>
      <c r="DC8" s="1"/>
      <c r="DD8" s="1"/>
      <c r="DE8" s="1"/>
      <c r="DF8" s="1"/>
      <c r="DG8" s="2"/>
    </row>
    <row r="9" spans="1:111" ht="14.65" customHeight="1" x14ac:dyDescent="0.25">
      <c r="A9" s="1"/>
      <c r="B9" s="1"/>
      <c r="C9" s="1"/>
      <c r="D9" s="1"/>
      <c r="E9" s="1" t="s">
        <v>2</v>
      </c>
      <c r="F9" s="1"/>
      <c r="G9" s="1"/>
      <c r="H9" s="85"/>
      <c r="I9" s="2"/>
      <c r="J9" s="2"/>
      <c r="K9" s="2"/>
      <c r="L9" s="2"/>
      <c r="M9" s="50"/>
      <c r="N9" s="2"/>
      <c r="O9" s="65"/>
      <c r="P9" s="2"/>
      <c r="Q9" s="2"/>
      <c r="R9" s="65"/>
      <c r="T9" s="1"/>
      <c r="U9" s="2"/>
      <c r="W9" s="1"/>
      <c r="X9" s="1"/>
      <c r="Y9" s="1"/>
      <c r="Z9" s="1"/>
      <c r="AA9" s="1"/>
      <c r="AB9" s="1" t="s">
        <v>2</v>
      </c>
      <c r="AC9" s="1"/>
      <c r="AD9" s="1"/>
      <c r="AE9" s="2"/>
      <c r="AH9" s="1"/>
      <c r="AI9" s="1"/>
      <c r="AJ9" s="1"/>
      <c r="AK9" s="1"/>
      <c r="AL9" s="1" t="s">
        <v>2</v>
      </c>
      <c r="AM9" s="1"/>
      <c r="AN9" s="1"/>
      <c r="AO9" s="2"/>
      <c r="AQ9" s="1"/>
      <c r="AR9" s="1"/>
      <c r="AS9" s="1"/>
      <c r="AT9" s="1"/>
      <c r="AU9" s="1"/>
      <c r="AV9" s="1" t="s">
        <v>2</v>
      </c>
      <c r="AW9" s="1"/>
      <c r="AX9" s="1"/>
      <c r="AY9" s="2"/>
      <c r="BB9" s="1"/>
      <c r="BC9" s="1"/>
      <c r="BD9" s="1"/>
      <c r="BE9" s="1"/>
      <c r="BF9" s="1" t="s">
        <v>2</v>
      </c>
      <c r="BG9" s="1"/>
      <c r="BH9" s="1"/>
      <c r="BI9" s="2"/>
      <c r="BK9" s="1"/>
      <c r="BL9" s="1"/>
      <c r="BM9" s="1"/>
      <c r="BN9" s="1"/>
      <c r="BO9" s="1"/>
      <c r="BP9" s="1" t="s">
        <v>2</v>
      </c>
      <c r="BQ9" s="1"/>
      <c r="BR9" s="1"/>
      <c r="BS9" s="2"/>
      <c r="BV9" s="1"/>
      <c r="BW9" s="1"/>
      <c r="BX9" s="1"/>
      <c r="BY9" s="1"/>
      <c r="BZ9" s="1" t="s">
        <v>2</v>
      </c>
      <c r="CA9" s="1"/>
      <c r="CB9" s="1"/>
      <c r="CC9" s="2"/>
      <c r="CF9" s="1"/>
      <c r="CG9" s="1"/>
      <c r="CH9" s="1"/>
      <c r="CI9" s="1"/>
      <c r="CJ9" s="1"/>
      <c r="CK9" s="1"/>
      <c r="CL9" s="1"/>
      <c r="CM9" s="2"/>
      <c r="CP9" s="1"/>
      <c r="CQ9" s="1"/>
      <c r="CR9" s="1"/>
      <c r="CS9" s="1"/>
      <c r="CT9" s="1"/>
      <c r="CU9" s="1"/>
      <c r="CV9" s="1"/>
      <c r="CW9" s="2"/>
      <c r="CZ9" s="1"/>
      <c r="DA9" s="1"/>
      <c r="DB9" s="1"/>
      <c r="DC9" s="1"/>
      <c r="DD9" s="1"/>
      <c r="DE9" s="1"/>
      <c r="DF9" s="1"/>
      <c r="DG9" s="2"/>
    </row>
    <row r="10" spans="1:111" ht="14.65" customHeight="1" x14ac:dyDescent="0.25">
      <c r="A10" s="1"/>
      <c r="B10" s="1"/>
      <c r="C10" s="1"/>
      <c r="D10" s="1"/>
      <c r="E10" s="1"/>
      <c r="F10" s="1" t="s">
        <v>3</v>
      </c>
      <c r="G10" s="1"/>
      <c r="H10" s="137">
        <v>422076.45</v>
      </c>
      <c r="I10" s="198">
        <v>41757</v>
      </c>
      <c r="J10" s="198">
        <v>47673.91</v>
      </c>
      <c r="K10" s="198">
        <v>80328.27</v>
      </c>
      <c r="L10" s="90">
        <f>SUM(H10:K10)</f>
        <v>591835.63</v>
      </c>
      <c r="M10" s="91">
        <v>720000</v>
      </c>
      <c r="N10" s="92">
        <v>667000</v>
      </c>
      <c r="O10" s="93">
        <v>623000</v>
      </c>
      <c r="P10" s="142">
        <f>N10-L10</f>
        <v>75164.37</v>
      </c>
      <c r="Q10" s="131">
        <f>O10-L10</f>
        <v>31164.369999999995</v>
      </c>
      <c r="R10" s="132">
        <f>O10-N10</f>
        <v>-44000</v>
      </c>
      <c r="T10" s="145" t="s">
        <v>255</v>
      </c>
      <c r="U10" s="2"/>
      <c r="W10" s="1"/>
      <c r="X10" s="1"/>
      <c r="Y10" s="1"/>
      <c r="Z10" s="1"/>
      <c r="AA10" s="1"/>
      <c r="AB10" s="1"/>
      <c r="AC10" s="1" t="s">
        <v>3</v>
      </c>
      <c r="AD10" s="1"/>
      <c r="AE10" s="2">
        <v>422076.45</v>
      </c>
      <c r="AH10" s="1"/>
      <c r="AI10" s="1"/>
      <c r="AJ10" s="1"/>
      <c r="AK10" s="1"/>
      <c r="AL10" s="1"/>
      <c r="AM10" s="1" t="s">
        <v>3</v>
      </c>
      <c r="AN10" s="1"/>
      <c r="AO10" s="2">
        <v>43143.32</v>
      </c>
      <c r="AQ10" s="1"/>
      <c r="AR10" s="1"/>
      <c r="AS10" s="1"/>
      <c r="AT10" s="1"/>
      <c r="AU10" s="1"/>
      <c r="AV10" s="1"/>
      <c r="AW10" s="1" t="s">
        <v>3</v>
      </c>
      <c r="AX10" s="1"/>
      <c r="AY10" s="2">
        <v>47673.91</v>
      </c>
      <c r="BB10" s="1"/>
      <c r="BC10" s="1"/>
      <c r="BD10" s="1"/>
      <c r="BE10" s="1"/>
      <c r="BF10" s="1"/>
      <c r="BG10" s="1" t="s">
        <v>3</v>
      </c>
      <c r="BH10" s="1"/>
      <c r="BI10" s="2">
        <v>80328.27</v>
      </c>
      <c r="BK10" s="1"/>
      <c r="BL10" s="1"/>
      <c r="BM10" s="1"/>
      <c r="BN10" s="1"/>
      <c r="BO10" s="1"/>
      <c r="BP10" s="1"/>
      <c r="BQ10" s="1" t="s">
        <v>3</v>
      </c>
      <c r="BR10" s="1"/>
      <c r="BS10" s="2">
        <v>720000</v>
      </c>
      <c r="BV10" s="1"/>
      <c r="BW10" s="1"/>
      <c r="BX10" s="1"/>
      <c r="BY10" s="1"/>
      <c r="BZ10" s="1"/>
      <c r="CA10" s="1" t="s">
        <v>3</v>
      </c>
      <c r="CB10" s="1"/>
      <c r="CC10" s="2">
        <v>667000</v>
      </c>
      <c r="CF10" s="1"/>
      <c r="CG10" s="1"/>
      <c r="CH10" s="1"/>
      <c r="CI10" s="1"/>
      <c r="CJ10" s="1"/>
      <c r="CK10" s="1"/>
      <c r="CL10" s="1"/>
      <c r="CM10" s="2"/>
      <c r="CP10" s="1"/>
      <c r="CQ10" s="1"/>
      <c r="CR10" s="1"/>
      <c r="CS10" s="1"/>
      <c r="CT10" s="1"/>
      <c r="CU10" s="1"/>
      <c r="CV10" s="1"/>
      <c r="CW10" s="2"/>
      <c r="CZ10" s="1"/>
      <c r="DA10" s="1"/>
      <c r="DB10" s="1"/>
      <c r="DC10" s="1"/>
      <c r="DD10" s="1"/>
      <c r="DE10" s="1"/>
      <c r="DF10" s="1"/>
      <c r="DG10" s="2"/>
    </row>
    <row r="11" spans="1:111" ht="14.65" customHeight="1" x14ac:dyDescent="0.25">
      <c r="A11" s="1"/>
      <c r="B11" s="1"/>
      <c r="C11" s="1"/>
      <c r="D11" s="1"/>
      <c r="E11" s="1"/>
      <c r="F11" s="1" t="s">
        <v>92</v>
      </c>
      <c r="G11" s="1"/>
      <c r="H11" s="137">
        <v>7548.15</v>
      </c>
      <c r="I11" s="198">
        <v>10000</v>
      </c>
      <c r="J11" s="198">
        <v>0</v>
      </c>
      <c r="K11" s="198">
        <v>0</v>
      </c>
      <c r="L11" s="90">
        <f t="shared" ref="L11:L14" si="0">SUM(H11:K11)</f>
        <v>17548.150000000001</v>
      </c>
      <c r="M11" s="91">
        <v>2100</v>
      </c>
      <c r="N11" s="92">
        <v>1200</v>
      </c>
      <c r="O11" s="93">
        <v>5000</v>
      </c>
      <c r="P11" s="142">
        <f>N11-L11</f>
        <v>-16348.150000000001</v>
      </c>
      <c r="Q11" s="131">
        <f>O11-L11</f>
        <v>-12548.150000000001</v>
      </c>
      <c r="R11" s="132">
        <f>O11-N11</f>
        <v>3800</v>
      </c>
      <c r="T11" s="145"/>
      <c r="U11" s="2"/>
      <c r="W11" s="1"/>
      <c r="X11" s="1"/>
      <c r="Y11" s="1"/>
      <c r="Z11" s="1"/>
      <c r="AA11" s="1"/>
      <c r="AB11" s="1"/>
      <c r="AC11" s="1" t="s">
        <v>92</v>
      </c>
      <c r="AD11" s="1"/>
      <c r="AE11" s="2">
        <v>7548.15</v>
      </c>
      <c r="AH11" s="1"/>
      <c r="AI11" s="1"/>
      <c r="AJ11" s="1"/>
      <c r="AK11" s="1"/>
      <c r="AL11" s="1"/>
      <c r="AM11" s="1" t="s">
        <v>92</v>
      </c>
      <c r="AN11" s="1"/>
      <c r="AO11" s="2">
        <v>5113.68</v>
      </c>
      <c r="AQ11" s="1"/>
      <c r="AR11" s="1"/>
      <c r="AS11" s="1"/>
      <c r="AT11" s="1"/>
      <c r="AU11" s="1"/>
      <c r="AV11" s="1"/>
      <c r="AW11" s="1" t="s">
        <v>92</v>
      </c>
      <c r="AX11" s="1"/>
      <c r="AY11" s="2">
        <v>0</v>
      </c>
      <c r="BB11" s="1"/>
      <c r="BC11" s="1"/>
      <c r="BD11" s="1"/>
      <c r="BE11" s="1"/>
      <c r="BF11" s="1"/>
      <c r="BG11" s="1" t="s">
        <v>92</v>
      </c>
      <c r="BH11" s="1"/>
      <c r="BI11" s="2">
        <v>0</v>
      </c>
      <c r="BK11" s="1"/>
      <c r="BL11" s="1"/>
      <c r="BM11" s="1"/>
      <c r="BN11" s="1"/>
      <c r="BO11" s="1"/>
      <c r="BP11" s="1"/>
      <c r="BQ11" s="1" t="s">
        <v>92</v>
      </c>
      <c r="BR11" s="1"/>
      <c r="BS11" s="2">
        <v>2100</v>
      </c>
      <c r="BV11" s="1"/>
      <c r="BW11" s="1"/>
      <c r="BX11" s="1"/>
      <c r="BY11" s="1"/>
      <c r="BZ11" s="1"/>
      <c r="CA11" s="1" t="s">
        <v>92</v>
      </c>
      <c r="CB11" s="1"/>
      <c r="CC11" s="2">
        <v>1200</v>
      </c>
      <c r="CF11" s="1"/>
      <c r="CG11" s="1"/>
      <c r="CH11" s="1"/>
      <c r="CI11" s="1"/>
      <c r="CJ11" s="1"/>
      <c r="CK11" s="1"/>
      <c r="CL11" s="1"/>
      <c r="CM11" s="2"/>
      <c r="CP11" s="1"/>
      <c r="CQ11" s="1"/>
      <c r="CR11" s="1"/>
      <c r="CS11" s="1"/>
      <c r="CT11" s="1"/>
      <c r="CU11" s="1"/>
      <c r="CV11" s="1"/>
      <c r="CW11" s="2"/>
      <c r="CZ11" s="1"/>
      <c r="DA11" s="1"/>
      <c r="DB11" s="1"/>
      <c r="DC11" s="1"/>
      <c r="DD11" s="1"/>
      <c r="DE11" s="1"/>
      <c r="DF11" s="1"/>
      <c r="DG11" s="2"/>
    </row>
    <row r="12" spans="1:111" ht="14.65" customHeight="1" x14ac:dyDescent="0.25">
      <c r="A12" s="1"/>
      <c r="B12" s="1"/>
      <c r="C12" s="1"/>
      <c r="D12" s="1"/>
      <c r="E12" s="1"/>
      <c r="F12" s="1" t="s">
        <v>4</v>
      </c>
      <c r="G12" s="1"/>
      <c r="H12" s="137">
        <v>0</v>
      </c>
      <c r="I12" s="198">
        <v>0</v>
      </c>
      <c r="J12" s="198">
        <v>0</v>
      </c>
      <c r="K12" s="198">
        <v>0</v>
      </c>
      <c r="L12" s="90">
        <f t="shared" si="0"/>
        <v>0</v>
      </c>
      <c r="M12" s="91">
        <v>500</v>
      </c>
      <c r="N12" s="92">
        <v>1500</v>
      </c>
      <c r="O12" s="93">
        <v>1000</v>
      </c>
      <c r="P12" s="142">
        <f>N12-L12</f>
        <v>1500</v>
      </c>
      <c r="Q12" s="131">
        <f>O12-L12</f>
        <v>1000</v>
      </c>
      <c r="R12" s="132">
        <f>O12-N12</f>
        <v>-500</v>
      </c>
      <c r="T12" s="81"/>
      <c r="U12" s="2"/>
      <c r="W12" s="1"/>
      <c r="X12" s="1"/>
      <c r="Y12" s="1"/>
      <c r="Z12" s="1"/>
      <c r="AA12" s="1"/>
      <c r="AB12" s="1"/>
      <c r="AC12" s="1" t="s">
        <v>4</v>
      </c>
      <c r="AD12" s="1"/>
      <c r="AE12" s="2">
        <v>0</v>
      </c>
      <c r="AH12" s="1"/>
      <c r="AI12" s="1"/>
      <c r="AJ12" s="1"/>
      <c r="AK12" s="1"/>
      <c r="AL12" s="1"/>
      <c r="AM12" s="1" t="s">
        <v>4</v>
      </c>
      <c r="AN12" s="1"/>
      <c r="AO12" s="2">
        <v>0</v>
      </c>
      <c r="AQ12" s="1"/>
      <c r="AR12" s="1"/>
      <c r="AS12" s="1"/>
      <c r="AT12" s="1"/>
      <c r="AU12" s="1"/>
      <c r="AV12" s="1"/>
      <c r="AW12" s="1" t="s">
        <v>4</v>
      </c>
      <c r="AX12" s="1"/>
      <c r="AY12" s="2">
        <v>500</v>
      </c>
      <c r="BB12" s="1"/>
      <c r="BC12" s="1"/>
      <c r="BD12" s="1"/>
      <c r="BE12" s="1"/>
      <c r="BF12" s="1"/>
      <c r="BG12" s="1" t="s">
        <v>4</v>
      </c>
      <c r="BH12" s="1"/>
      <c r="BI12" s="2">
        <v>0</v>
      </c>
      <c r="BK12" s="1"/>
      <c r="BL12" s="1"/>
      <c r="BM12" s="1"/>
      <c r="BN12" s="1"/>
      <c r="BO12" s="1"/>
      <c r="BP12" s="1"/>
      <c r="BQ12" s="1" t="s">
        <v>4</v>
      </c>
      <c r="BR12" s="1"/>
      <c r="BS12" s="2">
        <v>500</v>
      </c>
      <c r="BV12" s="1"/>
      <c r="BW12" s="1"/>
      <c r="BX12" s="1"/>
      <c r="BY12" s="1"/>
      <c r="BZ12" s="1"/>
      <c r="CA12" s="1" t="s">
        <v>4</v>
      </c>
      <c r="CB12" s="1"/>
      <c r="CC12" s="2">
        <v>1500</v>
      </c>
      <c r="CF12" s="1"/>
      <c r="CG12" s="1"/>
      <c r="CH12" s="1"/>
      <c r="CI12" s="1"/>
      <c r="CJ12" s="1"/>
      <c r="CK12" s="1"/>
      <c r="CL12" s="1"/>
      <c r="CM12" s="2"/>
      <c r="CP12" s="1"/>
      <c r="CQ12" s="1"/>
      <c r="CR12" s="1"/>
      <c r="CS12" s="1"/>
      <c r="CT12" s="1"/>
      <c r="CU12" s="1"/>
      <c r="CV12" s="1"/>
      <c r="CW12" s="2"/>
      <c r="CZ12" s="1"/>
      <c r="DA12" s="1"/>
      <c r="DB12" s="1"/>
      <c r="DC12" s="1"/>
      <c r="DD12" s="1"/>
      <c r="DE12" s="1"/>
      <c r="DF12" s="1"/>
      <c r="DG12" s="2"/>
    </row>
    <row r="13" spans="1:111" ht="14.65" customHeight="1" x14ac:dyDescent="0.25">
      <c r="A13" s="1"/>
      <c r="B13" s="1"/>
      <c r="C13" s="1"/>
      <c r="D13" s="1"/>
      <c r="E13" s="1"/>
      <c r="F13" s="1" t="s">
        <v>5</v>
      </c>
      <c r="G13" s="1"/>
      <c r="H13" s="137">
        <v>12541.93</v>
      </c>
      <c r="I13" s="198">
        <v>1931.29</v>
      </c>
      <c r="J13" s="198">
        <v>1255.3800000000001</v>
      </c>
      <c r="K13" s="198">
        <v>1223.49</v>
      </c>
      <c r="L13" s="90">
        <f t="shared" si="0"/>
        <v>16952.090000000004</v>
      </c>
      <c r="M13" s="91">
        <v>2500</v>
      </c>
      <c r="N13" s="92">
        <v>14400</v>
      </c>
      <c r="O13" s="93">
        <v>15600</v>
      </c>
      <c r="P13" s="142">
        <f t="shared" ref="P13:P14" si="1">N13-L13</f>
        <v>-2552.0900000000038</v>
      </c>
      <c r="Q13" s="131">
        <f>O13-L13</f>
        <v>-1352.0900000000038</v>
      </c>
      <c r="R13" s="132">
        <f>O13-N13</f>
        <v>1200</v>
      </c>
      <c r="T13" s="81"/>
      <c r="U13" s="2"/>
      <c r="W13" s="1"/>
      <c r="X13" s="1"/>
      <c r="Y13" s="1"/>
      <c r="Z13" s="1"/>
      <c r="AA13" s="1"/>
      <c r="AB13" s="1"/>
      <c r="AC13" s="1" t="s">
        <v>5</v>
      </c>
      <c r="AD13" s="1"/>
      <c r="AE13" s="2">
        <v>12541.93</v>
      </c>
      <c r="AH13" s="1"/>
      <c r="AI13" s="1"/>
      <c r="AJ13" s="1"/>
      <c r="AK13" s="1"/>
      <c r="AL13" s="1"/>
      <c r="AM13" s="1" t="s">
        <v>5</v>
      </c>
      <c r="AN13" s="1"/>
      <c r="AO13" s="2">
        <v>1931.29</v>
      </c>
      <c r="AQ13" s="1"/>
      <c r="AR13" s="1"/>
      <c r="AS13" s="1"/>
      <c r="AT13" s="1"/>
      <c r="AU13" s="1"/>
      <c r="AV13" s="1"/>
      <c r="AW13" s="1" t="s">
        <v>5</v>
      </c>
      <c r="AX13" s="1"/>
      <c r="AY13" s="2">
        <v>1255.3800000000001</v>
      </c>
      <c r="BB13" s="1"/>
      <c r="BC13" s="1"/>
      <c r="BD13" s="1"/>
      <c r="BE13" s="1"/>
      <c r="BF13" s="1"/>
      <c r="BG13" s="1" t="s">
        <v>5</v>
      </c>
      <c r="BH13" s="1"/>
      <c r="BI13" s="2">
        <v>1223.49</v>
      </c>
      <c r="BK13" s="1"/>
      <c r="BL13" s="1"/>
      <c r="BM13" s="1"/>
      <c r="BN13" s="1"/>
      <c r="BO13" s="1"/>
      <c r="BP13" s="1"/>
      <c r="BQ13" s="1" t="s">
        <v>5</v>
      </c>
      <c r="BR13" s="1"/>
      <c r="BS13" s="2">
        <v>2500</v>
      </c>
      <c r="BV13" s="1"/>
      <c r="BW13" s="1"/>
      <c r="BX13" s="1"/>
      <c r="BY13" s="1"/>
      <c r="BZ13" s="1"/>
      <c r="CA13" s="1" t="s">
        <v>5</v>
      </c>
      <c r="CB13" s="1"/>
      <c r="CC13" s="2">
        <v>14400</v>
      </c>
      <c r="CF13" s="1"/>
      <c r="CG13" s="1"/>
      <c r="CH13" s="1"/>
      <c r="CI13" s="1"/>
      <c r="CJ13" s="1"/>
      <c r="CK13" s="1"/>
      <c r="CL13" s="1"/>
      <c r="CM13" s="2"/>
      <c r="CP13" s="1"/>
      <c r="CQ13" s="1"/>
      <c r="CR13" s="1"/>
      <c r="CS13" s="1"/>
      <c r="CT13" s="1"/>
      <c r="CU13" s="1"/>
      <c r="CV13" s="1"/>
      <c r="CW13" s="2"/>
      <c r="CZ13" s="1"/>
      <c r="DA13" s="1"/>
      <c r="DB13" s="1"/>
      <c r="DC13" s="1"/>
      <c r="DD13" s="1"/>
      <c r="DE13" s="1"/>
      <c r="DF13" s="1"/>
      <c r="DG13" s="2"/>
    </row>
    <row r="14" spans="1:111" ht="14.65" customHeight="1" thickBot="1" x14ac:dyDescent="0.3">
      <c r="A14" s="1"/>
      <c r="B14" s="69"/>
      <c r="C14" s="69"/>
      <c r="D14" s="69"/>
      <c r="E14" s="69"/>
      <c r="F14" s="214" t="s">
        <v>6</v>
      </c>
      <c r="G14" s="215"/>
      <c r="H14" s="137">
        <v>28300</v>
      </c>
      <c r="I14" s="198">
        <v>3200</v>
      </c>
      <c r="J14" s="198">
        <v>3200</v>
      </c>
      <c r="K14" s="198">
        <v>3200</v>
      </c>
      <c r="L14" s="217">
        <f t="shared" si="0"/>
        <v>37900</v>
      </c>
      <c r="M14" s="91">
        <v>35900</v>
      </c>
      <c r="N14" s="92">
        <v>37900</v>
      </c>
      <c r="O14" s="93">
        <f>(1600*2*2)+(1750*2*10)</f>
        <v>41400</v>
      </c>
      <c r="P14" s="143">
        <f t="shared" si="1"/>
        <v>0</v>
      </c>
      <c r="Q14" s="131">
        <f>O14-L14</f>
        <v>3500</v>
      </c>
      <c r="R14" s="132">
        <f>O14-N14</f>
        <v>3500</v>
      </c>
      <c r="T14" s="81" t="s">
        <v>262</v>
      </c>
      <c r="U14" s="2"/>
      <c r="W14" s="1"/>
      <c r="X14" s="1"/>
      <c r="Y14" s="1"/>
      <c r="Z14" s="1"/>
      <c r="AA14" s="1"/>
      <c r="AB14" s="1"/>
      <c r="AC14" s="211" t="s">
        <v>6</v>
      </c>
      <c r="AD14" s="211"/>
      <c r="AE14" s="212">
        <v>28300</v>
      </c>
      <c r="AH14" s="1"/>
      <c r="AI14" s="1"/>
      <c r="AJ14" s="1"/>
      <c r="AK14" s="1"/>
      <c r="AL14" s="1"/>
      <c r="AM14" s="211" t="s">
        <v>6</v>
      </c>
      <c r="AN14" s="211"/>
      <c r="AO14" s="212">
        <v>3000</v>
      </c>
      <c r="AQ14" s="1"/>
      <c r="AR14" s="1"/>
      <c r="AS14" s="1"/>
      <c r="AT14" s="1"/>
      <c r="AU14" s="1"/>
      <c r="AV14" s="1"/>
      <c r="AW14" s="211" t="s">
        <v>6</v>
      </c>
      <c r="AX14" s="211"/>
      <c r="AY14" s="212">
        <v>3000</v>
      </c>
      <c r="BB14" s="1"/>
      <c r="BC14" s="1"/>
      <c r="BD14" s="1"/>
      <c r="BE14" s="1"/>
      <c r="BF14" s="1"/>
      <c r="BG14" s="211" t="s">
        <v>6</v>
      </c>
      <c r="BH14" s="211"/>
      <c r="BI14" s="212">
        <v>3000</v>
      </c>
      <c r="BK14" s="1"/>
      <c r="BL14" s="1"/>
      <c r="BM14" s="1"/>
      <c r="BN14" s="1"/>
      <c r="BO14" s="1"/>
      <c r="BP14" s="1"/>
      <c r="BQ14" s="211" t="s">
        <v>6</v>
      </c>
      <c r="BR14" s="211"/>
      <c r="BS14" s="212">
        <v>35900</v>
      </c>
      <c r="BV14" s="1"/>
      <c r="BW14" s="1"/>
      <c r="BX14" s="1"/>
      <c r="BY14" s="1"/>
      <c r="BZ14" s="1"/>
      <c r="CA14" s="211" t="s">
        <v>6</v>
      </c>
      <c r="CB14" s="211"/>
      <c r="CC14" s="212">
        <v>37900</v>
      </c>
      <c r="CF14" s="1"/>
      <c r="CG14" s="1"/>
      <c r="CH14" s="1"/>
      <c r="CI14" s="1"/>
      <c r="CJ14" s="1"/>
      <c r="CK14" s="1"/>
      <c r="CL14" s="1"/>
      <c r="CM14" s="2"/>
      <c r="CP14" s="1"/>
      <c r="CQ14" s="1"/>
      <c r="CR14" s="1"/>
      <c r="CS14" s="1"/>
      <c r="CT14" s="1"/>
      <c r="CU14" s="1"/>
      <c r="CV14" s="1"/>
      <c r="CW14" s="2"/>
      <c r="CZ14" s="1"/>
      <c r="DA14" s="1"/>
      <c r="DB14" s="1"/>
      <c r="DC14" s="1"/>
      <c r="DD14" s="1"/>
      <c r="DE14" s="1"/>
      <c r="DF14" s="1"/>
      <c r="DG14" s="2"/>
    </row>
    <row r="15" spans="1:111" ht="14.65" customHeight="1" thickBot="1" x14ac:dyDescent="0.3">
      <c r="A15" s="1"/>
      <c r="B15" s="71"/>
      <c r="C15" s="71"/>
      <c r="D15" s="71"/>
      <c r="E15" s="71" t="s">
        <v>7</v>
      </c>
      <c r="F15" s="71"/>
      <c r="G15" s="72"/>
      <c r="H15" s="51">
        <f>ROUND(SUM(H10:H14),5)</f>
        <v>470466.53</v>
      </c>
      <c r="I15" s="33">
        <f t="shared" ref="I15:N15" si="2">ROUND(SUM(I10:I14),5)</f>
        <v>56888.29</v>
      </c>
      <c r="J15" s="33">
        <f t="shared" si="2"/>
        <v>52129.29</v>
      </c>
      <c r="K15" s="33">
        <f t="shared" ref="K15" si="3">ROUND(SUM(K10:K14),5)</f>
        <v>84751.76</v>
      </c>
      <c r="L15" s="96">
        <f>ROUND(SUM(L10:L14),5)</f>
        <v>664235.87</v>
      </c>
      <c r="M15" s="95">
        <f t="shared" si="2"/>
        <v>761000</v>
      </c>
      <c r="N15" s="96">
        <f t="shared" si="2"/>
        <v>722000</v>
      </c>
      <c r="O15" s="97">
        <f t="shared" ref="O15:P15" si="4">ROUND(SUM(O10:O14),5)</f>
        <v>686000</v>
      </c>
      <c r="P15" s="112">
        <f t="shared" si="4"/>
        <v>57764.13</v>
      </c>
      <c r="Q15" s="96">
        <f t="shared" ref="Q15" si="5">ROUND(SUM(Q10:Q14),5)</f>
        <v>21764.13</v>
      </c>
      <c r="R15" s="97">
        <f t="shared" ref="R15" si="6">ROUND(SUM(R10:R14),5)</f>
        <v>-36000</v>
      </c>
      <c r="T15" s="81"/>
      <c r="U15" s="2"/>
      <c r="W15" s="1"/>
      <c r="X15" s="1"/>
      <c r="Y15" s="1"/>
      <c r="Z15" s="1"/>
      <c r="AA15" s="1"/>
      <c r="AB15" s="1" t="s">
        <v>7</v>
      </c>
      <c r="AC15" s="1"/>
      <c r="AD15" s="1"/>
      <c r="AE15" s="20">
        <f>ROUND(SUM(AE9:AE14),5)</f>
        <v>470466.53</v>
      </c>
      <c r="AH15" s="1"/>
      <c r="AI15" s="1"/>
      <c r="AJ15" s="1"/>
      <c r="AK15" s="1"/>
      <c r="AL15" s="1" t="s">
        <v>7</v>
      </c>
      <c r="AM15" s="1"/>
      <c r="AN15" s="1"/>
      <c r="AO15" s="20">
        <f>ROUND(SUM(AO9:AO14),5)</f>
        <v>53188.29</v>
      </c>
      <c r="AQ15" s="1"/>
      <c r="AR15" s="1"/>
      <c r="AS15" s="1"/>
      <c r="AT15" s="1"/>
      <c r="AU15" s="1"/>
      <c r="AV15" s="1" t="s">
        <v>7</v>
      </c>
      <c r="AW15" s="1"/>
      <c r="AX15" s="1"/>
      <c r="AY15" s="20">
        <f>ROUND(SUM(AY9:AY14),5)</f>
        <v>52429.29</v>
      </c>
      <c r="BB15" s="1"/>
      <c r="BC15" s="1"/>
      <c r="BD15" s="1"/>
      <c r="BE15" s="1"/>
      <c r="BF15" s="1" t="s">
        <v>7</v>
      </c>
      <c r="BG15" s="1"/>
      <c r="BH15" s="1"/>
      <c r="BI15" s="20">
        <f>ROUND(SUM(BI9:BI14),5)</f>
        <v>84551.76</v>
      </c>
      <c r="BK15" s="1"/>
      <c r="BL15" s="1"/>
      <c r="BM15" s="1"/>
      <c r="BN15" s="1"/>
      <c r="BO15" s="1"/>
      <c r="BP15" s="1" t="s">
        <v>7</v>
      </c>
      <c r="BQ15" s="1"/>
      <c r="BR15" s="1"/>
      <c r="BS15" s="20">
        <f>ROUND(SUM(BS9:BS14),5)</f>
        <v>761000</v>
      </c>
      <c r="BV15" s="1"/>
      <c r="BW15" s="1"/>
      <c r="BX15" s="1"/>
      <c r="BY15" s="1"/>
      <c r="BZ15" s="1" t="s">
        <v>7</v>
      </c>
      <c r="CA15" s="1"/>
      <c r="CB15" s="1"/>
      <c r="CC15" s="20">
        <f>ROUND(SUM(CC9:CC14),5)</f>
        <v>722000</v>
      </c>
      <c r="CF15" s="1"/>
      <c r="CG15" s="1"/>
      <c r="CH15" s="1"/>
      <c r="CI15" s="1"/>
      <c r="CJ15" s="1"/>
      <c r="CK15" s="1"/>
      <c r="CL15" s="1"/>
      <c r="CM15" s="2"/>
      <c r="CP15" s="1"/>
      <c r="CQ15" s="1"/>
      <c r="CR15" s="1"/>
      <c r="CS15" s="1"/>
      <c r="CT15" s="1"/>
      <c r="CU15" s="1"/>
      <c r="CV15" s="1"/>
      <c r="CW15" s="2"/>
      <c r="CZ15" s="1"/>
      <c r="DA15" s="1"/>
      <c r="DB15" s="1"/>
      <c r="DC15" s="1"/>
      <c r="DD15" s="1"/>
      <c r="DE15" s="1"/>
      <c r="DF15" s="1"/>
      <c r="DG15" s="2"/>
    </row>
    <row r="16" spans="1:111" ht="14.65" customHeight="1" thickBot="1" x14ac:dyDescent="0.3">
      <c r="A16" s="1"/>
      <c r="B16" s="73"/>
      <c r="C16" s="73"/>
      <c r="D16" s="73" t="s">
        <v>8</v>
      </c>
      <c r="E16" s="73"/>
      <c r="F16" s="73"/>
      <c r="G16" s="74"/>
      <c r="H16" s="52">
        <f>ROUND(H15,5)</f>
        <v>470466.53</v>
      </c>
      <c r="I16" s="34">
        <f t="shared" ref="I16:O16" si="7">ROUND(I15,5)</f>
        <v>56888.29</v>
      </c>
      <c r="J16" s="34">
        <f t="shared" si="7"/>
        <v>52129.29</v>
      </c>
      <c r="K16" s="34">
        <f t="shared" ref="K16" si="8">ROUND(K15,5)</f>
        <v>84751.76</v>
      </c>
      <c r="L16" s="99">
        <f>ROUND(L15,5)</f>
        <v>664235.87</v>
      </c>
      <c r="M16" s="98">
        <f t="shared" si="7"/>
        <v>761000</v>
      </c>
      <c r="N16" s="99">
        <f t="shared" si="7"/>
        <v>722000</v>
      </c>
      <c r="O16" s="100">
        <f t="shared" si="7"/>
        <v>686000</v>
      </c>
      <c r="P16" s="99">
        <f>ROUND(P15,5)</f>
        <v>57764.13</v>
      </c>
      <c r="Q16" s="99">
        <f t="shared" ref="Q16" si="9">ROUND(Q15,5)</f>
        <v>21764.13</v>
      </c>
      <c r="R16" s="100">
        <f t="shared" ref="R16" si="10">ROUND(R15,5)</f>
        <v>-36000</v>
      </c>
      <c r="T16" s="81"/>
      <c r="U16" s="2"/>
      <c r="W16" s="1"/>
      <c r="X16" s="1"/>
      <c r="Y16" s="1"/>
      <c r="Z16" s="1"/>
      <c r="AA16" s="1" t="s">
        <v>8</v>
      </c>
      <c r="AB16" s="1"/>
      <c r="AC16" s="1"/>
      <c r="AD16" s="1"/>
      <c r="AE16" s="21">
        <f>ROUND(AE8+AE15,5)</f>
        <v>470466.53</v>
      </c>
      <c r="AH16" s="1"/>
      <c r="AI16" s="1"/>
      <c r="AJ16" s="1"/>
      <c r="AK16" s="1" t="s">
        <v>8</v>
      </c>
      <c r="AL16" s="1"/>
      <c r="AM16" s="1"/>
      <c r="AN16" s="1"/>
      <c r="AO16" s="21">
        <f>ROUND(AO8+AO15,5)</f>
        <v>53188.29</v>
      </c>
      <c r="AQ16" s="1"/>
      <c r="AR16" s="1"/>
      <c r="AS16" s="1"/>
      <c r="AT16" s="1"/>
      <c r="AU16" s="1" t="s">
        <v>8</v>
      </c>
      <c r="AV16" s="1"/>
      <c r="AW16" s="1"/>
      <c r="AX16" s="1"/>
      <c r="AY16" s="21">
        <f>ROUND(AY8+AY15,5)</f>
        <v>52429.29</v>
      </c>
      <c r="BB16" s="1"/>
      <c r="BC16" s="1"/>
      <c r="BD16" s="1"/>
      <c r="BE16" s="1" t="s">
        <v>8</v>
      </c>
      <c r="BF16" s="1"/>
      <c r="BG16" s="1"/>
      <c r="BH16" s="1"/>
      <c r="BI16" s="21">
        <f>ROUND(BI8+BI15,5)</f>
        <v>84551.76</v>
      </c>
      <c r="BK16" s="1"/>
      <c r="BL16" s="1"/>
      <c r="BM16" s="1"/>
      <c r="BN16" s="1"/>
      <c r="BO16" s="1" t="s">
        <v>8</v>
      </c>
      <c r="BP16" s="1"/>
      <c r="BQ16" s="1"/>
      <c r="BR16" s="1"/>
      <c r="BS16" s="21">
        <f>ROUND(BS8+BS15,5)</f>
        <v>761000</v>
      </c>
      <c r="BV16" s="1"/>
      <c r="BW16" s="1"/>
      <c r="BX16" s="1"/>
      <c r="BY16" s="1" t="s">
        <v>8</v>
      </c>
      <c r="BZ16" s="1"/>
      <c r="CA16" s="1"/>
      <c r="CB16" s="1"/>
      <c r="CC16" s="21">
        <f>ROUND(CC8+CC15,5)</f>
        <v>722000</v>
      </c>
      <c r="CF16" s="1"/>
      <c r="CG16" s="1"/>
      <c r="CH16" s="1"/>
      <c r="CI16" s="1"/>
      <c r="CJ16" s="1"/>
      <c r="CK16" s="1"/>
      <c r="CL16" s="1"/>
      <c r="CM16" s="2"/>
      <c r="CP16" s="1"/>
      <c r="CQ16" s="1"/>
      <c r="CR16" s="1"/>
      <c r="CS16" s="1"/>
      <c r="CT16" s="1"/>
      <c r="CU16" s="1"/>
      <c r="CV16" s="1"/>
      <c r="CW16" s="2"/>
      <c r="CZ16" s="1"/>
      <c r="DA16" s="1"/>
      <c r="DB16" s="1"/>
      <c r="DC16" s="1"/>
      <c r="DD16" s="1"/>
      <c r="DE16" s="1"/>
      <c r="DF16" s="1"/>
      <c r="DG16" s="2"/>
    </row>
    <row r="17" spans="1:111" ht="17.25" customHeight="1" x14ac:dyDescent="0.25">
      <c r="A17" s="1"/>
      <c r="B17" s="1"/>
      <c r="C17" s="1"/>
      <c r="D17" s="1" t="s">
        <v>9</v>
      </c>
      <c r="E17" s="1"/>
      <c r="F17" s="1"/>
      <c r="G17" s="1"/>
      <c r="H17" s="53"/>
      <c r="I17" s="35"/>
      <c r="J17" s="35"/>
      <c r="K17" s="35"/>
      <c r="L17" s="102"/>
      <c r="M17" s="101"/>
      <c r="N17" s="102"/>
      <c r="O17" s="103"/>
      <c r="P17" s="102"/>
      <c r="Q17" s="102"/>
      <c r="R17" s="103"/>
      <c r="T17" s="81"/>
      <c r="U17" s="2"/>
      <c r="W17" s="1"/>
      <c r="X17" s="1"/>
      <c r="Y17" s="1"/>
      <c r="Z17" s="1" t="s">
        <v>114</v>
      </c>
      <c r="AA17" s="1"/>
      <c r="AB17" s="1"/>
      <c r="AC17" s="1"/>
      <c r="AD17" s="1"/>
      <c r="AE17" s="2">
        <f>AE16</f>
        <v>470466.53</v>
      </c>
      <c r="AH17" s="1"/>
      <c r="AI17" s="1"/>
      <c r="AJ17" s="1" t="s">
        <v>114</v>
      </c>
      <c r="AK17" s="1"/>
      <c r="AL17" s="1"/>
      <c r="AM17" s="1"/>
      <c r="AN17" s="1"/>
      <c r="AO17" s="2">
        <f>AO16</f>
        <v>53188.29</v>
      </c>
      <c r="AQ17" s="1"/>
      <c r="AR17" s="1"/>
      <c r="AS17" s="1"/>
      <c r="AT17" s="1" t="s">
        <v>114</v>
      </c>
      <c r="AU17" s="1"/>
      <c r="AV17" s="1"/>
      <c r="AW17" s="1"/>
      <c r="AX17" s="1"/>
      <c r="AY17" s="2">
        <f>AY16</f>
        <v>52429.29</v>
      </c>
      <c r="BB17" s="1"/>
      <c r="BC17" s="1"/>
      <c r="BD17" s="1" t="s">
        <v>114</v>
      </c>
      <c r="BE17" s="1"/>
      <c r="BF17" s="1"/>
      <c r="BG17" s="1"/>
      <c r="BH17" s="1"/>
      <c r="BI17" s="2">
        <f>BI16</f>
        <v>84551.76</v>
      </c>
      <c r="BK17" s="1"/>
      <c r="BL17" s="1"/>
      <c r="BM17" s="1"/>
      <c r="BN17" s="1" t="s">
        <v>114</v>
      </c>
      <c r="BO17" s="1"/>
      <c r="BP17" s="1"/>
      <c r="BQ17" s="1"/>
      <c r="BR17" s="1"/>
      <c r="BS17" s="2">
        <f>BS16</f>
        <v>761000</v>
      </c>
      <c r="BV17" s="1"/>
      <c r="BW17" s="1"/>
      <c r="BX17" s="1" t="s">
        <v>114</v>
      </c>
      <c r="BY17" s="1"/>
      <c r="BZ17" s="1"/>
      <c r="CA17" s="1"/>
      <c r="CB17" s="1"/>
      <c r="CC17" s="2">
        <f>CC16</f>
        <v>722000</v>
      </c>
      <c r="CF17" s="1"/>
      <c r="CG17" s="1"/>
      <c r="CH17" s="1"/>
      <c r="CI17" s="1"/>
      <c r="CJ17" s="1"/>
      <c r="CK17" s="1"/>
      <c r="CL17" s="1"/>
      <c r="CM17" s="2"/>
      <c r="CP17" s="1"/>
      <c r="CQ17" s="1"/>
      <c r="CR17" s="1"/>
      <c r="CS17" s="1"/>
      <c r="CT17" s="1"/>
      <c r="CU17" s="1"/>
      <c r="CV17" s="1"/>
      <c r="CW17" s="2"/>
      <c r="CZ17" s="1"/>
      <c r="DA17" s="1"/>
      <c r="DB17" s="1"/>
      <c r="DC17" s="1"/>
      <c r="DD17" s="1"/>
      <c r="DE17" s="1"/>
      <c r="DF17" s="1"/>
      <c r="DG17" s="2"/>
    </row>
    <row r="18" spans="1:111" ht="14.65" customHeight="1" x14ac:dyDescent="0.25">
      <c r="A18" s="1"/>
      <c r="B18" s="1"/>
      <c r="C18" s="1"/>
      <c r="D18" s="1"/>
      <c r="E18" s="1" t="s">
        <v>10</v>
      </c>
      <c r="F18" s="1"/>
      <c r="G18" s="1"/>
      <c r="H18" s="53"/>
      <c r="I18" s="35"/>
      <c r="J18" s="35"/>
      <c r="K18" s="35"/>
      <c r="L18" s="102"/>
      <c r="M18" s="101"/>
      <c r="N18" s="102"/>
      <c r="O18" s="103"/>
      <c r="P18" s="102"/>
      <c r="Q18" s="102"/>
      <c r="R18" s="103"/>
      <c r="T18" s="81"/>
      <c r="U18" s="2"/>
      <c r="W18" s="1"/>
      <c r="X18" s="1"/>
      <c r="Y18" s="1"/>
      <c r="Z18" s="1"/>
      <c r="AA18" s="1" t="s">
        <v>9</v>
      </c>
      <c r="AB18" s="1"/>
      <c r="AC18" s="1"/>
      <c r="AD18" s="1"/>
      <c r="AE18" s="2"/>
      <c r="AH18" s="1"/>
      <c r="AI18" s="1"/>
      <c r="AJ18" s="1"/>
      <c r="AK18" s="1" t="s">
        <v>9</v>
      </c>
      <c r="AL18" s="1"/>
      <c r="AM18" s="1"/>
      <c r="AN18" s="1"/>
      <c r="AO18" s="2"/>
      <c r="AQ18" s="1"/>
      <c r="AR18" s="1"/>
      <c r="AS18" s="1"/>
      <c r="AT18" s="1"/>
      <c r="AU18" s="1" t="s">
        <v>9</v>
      </c>
      <c r="AV18" s="1"/>
      <c r="AW18" s="1"/>
      <c r="AX18" s="1"/>
      <c r="AY18" s="2"/>
      <c r="BB18" s="1"/>
      <c r="BC18" s="1"/>
      <c r="BD18" s="1"/>
      <c r="BE18" s="1" t="s">
        <v>9</v>
      </c>
      <c r="BF18" s="1"/>
      <c r="BG18" s="1"/>
      <c r="BH18" s="1"/>
      <c r="BI18" s="2"/>
      <c r="BK18" s="1"/>
      <c r="BL18" s="1"/>
      <c r="BM18" s="1"/>
      <c r="BN18" s="1"/>
      <c r="BO18" s="1" t="s">
        <v>9</v>
      </c>
      <c r="BP18" s="1"/>
      <c r="BQ18" s="1"/>
      <c r="BR18" s="1"/>
      <c r="BS18" s="2"/>
      <c r="BV18" s="1"/>
      <c r="BW18" s="1"/>
      <c r="BX18" s="1"/>
      <c r="BY18" s="1" t="s">
        <v>9</v>
      </c>
      <c r="BZ18" s="1"/>
      <c r="CA18" s="1"/>
      <c r="CB18" s="1"/>
      <c r="CC18" s="2"/>
      <c r="CF18" s="1"/>
      <c r="CG18" s="1"/>
      <c r="CH18" s="1"/>
      <c r="CI18" s="1"/>
      <c r="CJ18" s="1"/>
      <c r="CK18" s="1"/>
      <c r="CL18" s="1"/>
      <c r="CM18" s="2"/>
      <c r="CP18" s="1"/>
      <c r="CQ18" s="1"/>
      <c r="CR18" s="1"/>
      <c r="CS18" s="1"/>
      <c r="CT18" s="1"/>
      <c r="CU18" s="1"/>
      <c r="CV18" s="1"/>
      <c r="CW18" s="2"/>
      <c r="CZ18" s="1"/>
      <c r="DA18" s="1"/>
      <c r="DB18" s="1"/>
      <c r="DC18" s="1"/>
      <c r="DD18" s="1"/>
      <c r="DE18" s="1"/>
      <c r="DF18" s="1"/>
      <c r="DG18" s="2"/>
    </row>
    <row r="19" spans="1:111" ht="14.65" customHeight="1" x14ac:dyDescent="0.25">
      <c r="A19" s="1"/>
      <c r="B19" s="1"/>
      <c r="C19" s="1"/>
      <c r="D19" s="1"/>
      <c r="E19" s="1"/>
      <c r="F19" s="1" t="s">
        <v>11</v>
      </c>
      <c r="G19" s="1"/>
      <c r="H19" s="53"/>
      <c r="I19" s="35"/>
      <c r="J19" s="35"/>
      <c r="K19" s="35"/>
      <c r="L19" s="102"/>
      <c r="M19" s="101"/>
      <c r="N19" s="102"/>
      <c r="O19" s="103"/>
      <c r="P19" s="102"/>
      <c r="Q19" s="102"/>
      <c r="R19" s="103"/>
      <c r="T19" s="32"/>
      <c r="U19" s="2"/>
      <c r="W19" s="1"/>
      <c r="X19" s="1"/>
      <c r="Y19" s="1"/>
      <c r="Z19" s="1"/>
      <c r="AA19" s="1"/>
      <c r="AB19" s="1" t="s">
        <v>10</v>
      </c>
      <c r="AC19" s="1"/>
      <c r="AD19" s="1"/>
      <c r="AE19" s="2"/>
      <c r="AH19" s="1"/>
      <c r="AI19" s="1"/>
      <c r="AJ19" s="1"/>
      <c r="AK19" s="1"/>
      <c r="AL19" s="1" t="s">
        <v>10</v>
      </c>
      <c r="AM19" s="1"/>
      <c r="AN19" s="1"/>
      <c r="AO19" s="2"/>
      <c r="AQ19" s="1"/>
      <c r="AR19" s="1"/>
      <c r="AS19" s="1"/>
      <c r="AT19" s="1"/>
      <c r="AU19" s="1"/>
      <c r="AV19" s="1" t="s">
        <v>10</v>
      </c>
      <c r="AW19" s="1"/>
      <c r="AX19" s="1"/>
      <c r="AY19" s="2"/>
      <c r="BB19" s="1"/>
      <c r="BC19" s="1"/>
      <c r="BD19" s="1"/>
      <c r="BE19" s="1"/>
      <c r="BF19" s="1" t="s">
        <v>10</v>
      </c>
      <c r="BG19" s="1"/>
      <c r="BH19" s="1"/>
      <c r="BI19" s="2"/>
      <c r="BK19" s="1"/>
      <c r="BL19" s="1"/>
      <c r="BM19" s="1"/>
      <c r="BN19" s="1"/>
      <c r="BO19" s="1"/>
      <c r="BP19" s="1" t="s">
        <v>10</v>
      </c>
      <c r="BQ19" s="1"/>
      <c r="BR19" s="1"/>
      <c r="BS19" s="2"/>
      <c r="BV19" s="1"/>
      <c r="BW19" s="1"/>
      <c r="BX19" s="1"/>
      <c r="BY19" s="1"/>
      <c r="BZ19" s="1" t="s">
        <v>10</v>
      </c>
      <c r="CA19" s="1"/>
      <c r="CB19" s="1"/>
      <c r="CC19" s="2"/>
      <c r="CF19" s="1"/>
      <c r="CG19" s="1"/>
      <c r="CH19" s="1"/>
      <c r="CI19" s="1"/>
      <c r="CJ19" s="1"/>
      <c r="CK19" s="1"/>
      <c r="CL19" s="1"/>
      <c r="CM19" s="2"/>
      <c r="CP19" s="1"/>
      <c r="CQ19" s="1"/>
      <c r="CR19" s="1"/>
      <c r="CS19" s="1"/>
      <c r="CT19" s="1"/>
      <c r="CU19" s="1"/>
      <c r="CV19" s="1"/>
      <c r="CW19" s="2"/>
      <c r="CZ19" s="1"/>
      <c r="DA19" s="1"/>
      <c r="DB19" s="1"/>
      <c r="DC19" s="1"/>
      <c r="DD19" s="1"/>
      <c r="DE19" s="1"/>
      <c r="DF19" s="1"/>
      <c r="DG19" s="2"/>
    </row>
    <row r="20" spans="1:111" ht="14.65" customHeight="1" x14ac:dyDescent="0.25">
      <c r="A20" s="1"/>
      <c r="B20" s="1"/>
      <c r="C20" s="1"/>
      <c r="D20" s="1"/>
      <c r="E20" s="1"/>
      <c r="F20" s="1"/>
      <c r="G20" s="1" t="s">
        <v>12</v>
      </c>
      <c r="H20" s="137">
        <v>10099.14</v>
      </c>
      <c r="I20" s="198">
        <v>918.86</v>
      </c>
      <c r="J20" s="198">
        <v>627.80999999999995</v>
      </c>
      <c r="K20" s="198">
        <v>685.74</v>
      </c>
      <c r="L20" s="90">
        <f>SUM(H20:K20)</f>
        <v>12331.55</v>
      </c>
      <c r="M20" s="104">
        <v>12000</v>
      </c>
      <c r="N20" s="92">
        <v>12000</v>
      </c>
      <c r="O20" s="93">
        <v>13000</v>
      </c>
      <c r="P20" s="142">
        <f t="shared" ref="P20:P35" si="11">N20-L20</f>
        <v>-331.54999999999927</v>
      </c>
      <c r="Q20" s="131">
        <f t="shared" ref="Q20:Q35" si="12">O20-L20</f>
        <v>668.45000000000073</v>
      </c>
      <c r="R20" s="132">
        <f t="shared" ref="R20:R35" si="13">O20-N20</f>
        <v>1000</v>
      </c>
      <c r="T20" s="32"/>
      <c r="U20" s="2"/>
      <c r="W20" s="1"/>
      <c r="X20" s="1"/>
      <c r="Y20" s="1"/>
      <c r="Z20" s="1"/>
      <c r="AA20" s="1"/>
      <c r="AB20" s="1"/>
      <c r="AC20" s="1" t="s">
        <v>11</v>
      </c>
      <c r="AD20" s="1"/>
      <c r="AE20" s="2"/>
      <c r="AH20" s="1"/>
      <c r="AI20" s="1"/>
      <c r="AJ20" s="1"/>
      <c r="AK20" s="1"/>
      <c r="AL20" s="1"/>
      <c r="AM20" s="1" t="s">
        <v>11</v>
      </c>
      <c r="AN20" s="1"/>
      <c r="AO20" s="2"/>
      <c r="AQ20" s="1"/>
      <c r="AR20" s="1"/>
      <c r="AS20" s="1"/>
      <c r="AT20" s="1"/>
      <c r="AU20" s="1"/>
      <c r="AV20" s="1"/>
      <c r="AW20" s="1" t="s">
        <v>11</v>
      </c>
      <c r="AX20" s="1"/>
      <c r="AY20" s="2"/>
      <c r="BB20" s="1"/>
      <c r="BC20" s="1"/>
      <c r="BD20" s="1"/>
      <c r="BE20" s="1"/>
      <c r="BF20" s="1"/>
      <c r="BG20" s="1" t="s">
        <v>11</v>
      </c>
      <c r="BH20" s="1"/>
      <c r="BI20" s="2"/>
      <c r="BK20" s="1"/>
      <c r="BL20" s="1"/>
      <c r="BM20" s="1"/>
      <c r="BN20" s="1"/>
      <c r="BO20" s="1"/>
      <c r="BP20" s="1"/>
      <c r="BQ20" s="1" t="s">
        <v>11</v>
      </c>
      <c r="BR20" s="1"/>
      <c r="BS20" s="2"/>
      <c r="BV20" s="1"/>
      <c r="BW20" s="1"/>
      <c r="BX20" s="1"/>
      <c r="BY20" s="1"/>
      <c r="BZ20" s="1"/>
      <c r="CA20" s="1" t="s">
        <v>11</v>
      </c>
      <c r="CB20" s="1"/>
      <c r="CC20" s="2"/>
      <c r="CF20" s="1"/>
      <c r="CG20" s="1"/>
      <c r="CH20" s="1"/>
      <c r="CI20" s="1"/>
      <c r="CJ20" s="1"/>
      <c r="CK20" s="1"/>
      <c r="CL20" s="1"/>
      <c r="CM20" s="2"/>
      <c r="CP20" s="1"/>
      <c r="CQ20" s="1"/>
      <c r="CR20" s="1"/>
      <c r="CS20" s="1"/>
      <c r="CT20" s="1"/>
      <c r="CU20" s="1"/>
      <c r="CV20" s="1"/>
      <c r="CW20" s="2"/>
      <c r="CZ20" s="1"/>
      <c r="DA20" s="1"/>
      <c r="DB20" s="1"/>
      <c r="DC20" s="1"/>
      <c r="DD20" s="1"/>
      <c r="DE20" s="1"/>
      <c r="DF20" s="1"/>
      <c r="DG20" s="2"/>
    </row>
    <row r="21" spans="1:111" ht="14.65" customHeight="1" x14ac:dyDescent="0.25">
      <c r="A21" s="1"/>
      <c r="B21" s="1"/>
      <c r="C21" s="1"/>
      <c r="D21" s="1"/>
      <c r="E21" s="1"/>
      <c r="F21" s="1"/>
      <c r="G21" s="1" t="s">
        <v>13</v>
      </c>
      <c r="H21" s="137">
        <v>4821.3</v>
      </c>
      <c r="I21" s="198">
        <v>54.57</v>
      </c>
      <c r="J21" s="198">
        <v>90.62</v>
      </c>
      <c r="K21" s="198">
        <v>224.97</v>
      </c>
      <c r="L21" s="90">
        <f t="shared" ref="L21:L35" si="14">SUM(H21:K21)</f>
        <v>5191.46</v>
      </c>
      <c r="M21" s="104">
        <v>6000</v>
      </c>
      <c r="N21" s="92">
        <v>6000</v>
      </c>
      <c r="O21" s="93">
        <v>5500</v>
      </c>
      <c r="P21" s="142">
        <f t="shared" si="11"/>
        <v>808.54</v>
      </c>
      <c r="Q21" s="131">
        <f t="shared" si="12"/>
        <v>308.53999999999996</v>
      </c>
      <c r="R21" s="132">
        <f t="shared" si="13"/>
        <v>-500</v>
      </c>
      <c r="T21" s="32"/>
      <c r="U21" s="2"/>
      <c r="W21" s="1"/>
      <c r="X21" s="1"/>
      <c r="Y21" s="1"/>
      <c r="Z21" s="1"/>
      <c r="AA21" s="1"/>
      <c r="AB21" s="1"/>
      <c r="AC21" s="1"/>
      <c r="AD21" s="1" t="s">
        <v>12</v>
      </c>
      <c r="AE21" s="2">
        <v>10099.14</v>
      </c>
      <c r="AH21" s="1"/>
      <c r="AI21" s="1"/>
      <c r="AJ21" s="1"/>
      <c r="AK21" s="1"/>
      <c r="AL21" s="1"/>
      <c r="AM21" s="1"/>
      <c r="AN21" s="1" t="s">
        <v>12</v>
      </c>
      <c r="AO21" s="2">
        <v>918.86</v>
      </c>
      <c r="AQ21" s="1"/>
      <c r="AR21" s="1"/>
      <c r="AS21" s="1"/>
      <c r="AT21" s="1"/>
      <c r="AU21" s="1"/>
      <c r="AV21" s="1"/>
      <c r="AW21" s="1"/>
      <c r="AX21" s="1" t="s">
        <v>12</v>
      </c>
      <c r="AY21" s="2">
        <v>627.80999999999995</v>
      </c>
      <c r="BB21" s="1"/>
      <c r="BC21" s="1"/>
      <c r="BD21" s="1"/>
      <c r="BE21" s="1"/>
      <c r="BF21" s="1"/>
      <c r="BG21" s="1"/>
      <c r="BH21" s="1" t="s">
        <v>12</v>
      </c>
      <c r="BI21" s="2">
        <v>685.74</v>
      </c>
      <c r="BK21" s="1"/>
      <c r="BL21" s="1"/>
      <c r="BM21" s="1"/>
      <c r="BN21" s="1"/>
      <c r="BO21" s="1"/>
      <c r="BP21" s="1"/>
      <c r="BQ21" s="1"/>
      <c r="BR21" s="1" t="s">
        <v>12</v>
      </c>
      <c r="BS21" s="2">
        <v>12000</v>
      </c>
      <c r="BV21" s="1"/>
      <c r="BW21" s="1"/>
      <c r="BX21" s="1"/>
      <c r="BY21" s="1"/>
      <c r="BZ21" s="1"/>
      <c r="CA21" s="1"/>
      <c r="CB21" s="1" t="s">
        <v>12</v>
      </c>
      <c r="CC21" s="2">
        <v>12000</v>
      </c>
      <c r="CF21" s="1"/>
      <c r="CG21" s="1"/>
      <c r="CH21" s="1"/>
      <c r="CI21" s="1"/>
      <c r="CJ21" s="1"/>
      <c r="CK21" s="1"/>
      <c r="CL21" s="1"/>
      <c r="CM21" s="2"/>
      <c r="CP21" s="1"/>
      <c r="CQ21" s="1"/>
      <c r="CR21" s="1"/>
      <c r="CS21" s="1"/>
      <c r="CT21" s="1"/>
      <c r="CU21" s="1"/>
      <c r="CV21" s="1"/>
      <c r="CW21" s="2"/>
      <c r="CZ21" s="1"/>
      <c r="DA21" s="1"/>
      <c r="DB21" s="1"/>
      <c r="DC21" s="1"/>
      <c r="DD21" s="1"/>
      <c r="DE21" s="1"/>
      <c r="DF21" s="1"/>
      <c r="DG21" s="2"/>
    </row>
    <row r="22" spans="1:111" ht="14.65" customHeight="1" x14ac:dyDescent="0.25">
      <c r="A22" s="1"/>
      <c r="B22" s="1"/>
      <c r="C22" s="1"/>
      <c r="D22" s="1"/>
      <c r="E22" s="1"/>
      <c r="F22" s="1"/>
      <c r="G22" s="1" t="s">
        <v>101</v>
      </c>
      <c r="H22" s="137">
        <v>1691.99</v>
      </c>
      <c r="I22" s="198">
        <v>124.54</v>
      </c>
      <c r="J22" s="198">
        <v>124.79</v>
      </c>
      <c r="K22" s="198">
        <v>310.04000000000002</v>
      </c>
      <c r="L22" s="90">
        <f t="shared" si="14"/>
        <v>2251.36</v>
      </c>
      <c r="M22" s="104">
        <v>2600</v>
      </c>
      <c r="N22" s="92">
        <v>2300</v>
      </c>
      <c r="O22" s="93">
        <v>2300</v>
      </c>
      <c r="P22" s="142">
        <f t="shared" si="11"/>
        <v>48.639999999999873</v>
      </c>
      <c r="Q22" s="131">
        <f t="shared" si="12"/>
        <v>48.639999999999873</v>
      </c>
      <c r="R22" s="132">
        <f t="shared" si="13"/>
        <v>0</v>
      </c>
      <c r="T22" s="32"/>
      <c r="U22" s="2"/>
      <c r="W22" s="1"/>
      <c r="X22" s="1"/>
      <c r="Y22" s="1"/>
      <c r="Z22" s="1"/>
      <c r="AA22" s="1"/>
      <c r="AB22" s="1"/>
      <c r="AC22" s="1"/>
      <c r="AD22" s="1" t="s">
        <v>13</v>
      </c>
      <c r="AE22" s="2">
        <v>4821.3</v>
      </c>
      <c r="AH22" s="1"/>
      <c r="AI22" s="1"/>
      <c r="AJ22" s="1"/>
      <c r="AK22" s="1"/>
      <c r="AL22" s="1"/>
      <c r="AM22" s="1"/>
      <c r="AN22" s="1" t="s">
        <v>13</v>
      </c>
      <c r="AO22" s="2">
        <v>54.57</v>
      </c>
      <c r="AQ22" s="1"/>
      <c r="AR22" s="1"/>
      <c r="AS22" s="1"/>
      <c r="AT22" s="1"/>
      <c r="AU22" s="1"/>
      <c r="AV22" s="1"/>
      <c r="AW22" s="1"/>
      <c r="AX22" s="1" t="s">
        <v>13</v>
      </c>
      <c r="AY22" s="2">
        <v>90.62</v>
      </c>
      <c r="BB22" s="1"/>
      <c r="BC22" s="1"/>
      <c r="BD22" s="1"/>
      <c r="BE22" s="1"/>
      <c r="BF22" s="1"/>
      <c r="BG22" s="1"/>
      <c r="BH22" s="1" t="s">
        <v>13</v>
      </c>
      <c r="BI22" s="2">
        <v>224.97</v>
      </c>
      <c r="BK22" s="1"/>
      <c r="BL22" s="1"/>
      <c r="BM22" s="1"/>
      <c r="BN22" s="1"/>
      <c r="BO22" s="1"/>
      <c r="BP22" s="1"/>
      <c r="BQ22" s="1"/>
      <c r="BR22" s="1" t="s">
        <v>13</v>
      </c>
      <c r="BS22" s="2">
        <v>6000</v>
      </c>
      <c r="BV22" s="1"/>
      <c r="BW22" s="1"/>
      <c r="BX22" s="1"/>
      <c r="BY22" s="1"/>
      <c r="BZ22" s="1"/>
      <c r="CA22" s="1"/>
      <c r="CB22" s="1" t="s">
        <v>13</v>
      </c>
      <c r="CC22" s="2">
        <v>6000</v>
      </c>
      <c r="CF22" s="1"/>
      <c r="CG22" s="1"/>
      <c r="CH22" s="1"/>
      <c r="CI22" s="1"/>
      <c r="CJ22" s="1"/>
      <c r="CK22" s="1"/>
      <c r="CL22" s="1"/>
      <c r="CM22" s="2"/>
      <c r="CP22" s="1"/>
      <c r="CQ22" s="1"/>
      <c r="CR22" s="1"/>
      <c r="CS22" s="1"/>
      <c r="CT22" s="1"/>
      <c r="CU22" s="1"/>
      <c r="CV22" s="1"/>
      <c r="CW22" s="2"/>
      <c r="CZ22" s="1"/>
      <c r="DA22" s="1"/>
      <c r="DB22" s="1"/>
      <c r="DC22" s="1"/>
      <c r="DD22" s="1"/>
      <c r="DE22" s="1"/>
      <c r="DF22" s="1"/>
      <c r="DG22" s="2"/>
    </row>
    <row r="23" spans="1:111" ht="14.65" customHeight="1" x14ac:dyDescent="0.25">
      <c r="A23" s="1"/>
      <c r="B23" s="1"/>
      <c r="C23" s="1"/>
      <c r="D23" s="1"/>
      <c r="E23" s="1"/>
      <c r="F23" s="1"/>
      <c r="G23" s="1" t="s">
        <v>14</v>
      </c>
      <c r="H23" s="137">
        <v>1406.71</v>
      </c>
      <c r="I23" s="198">
        <v>74.66</v>
      </c>
      <c r="J23" s="198">
        <v>62.3</v>
      </c>
      <c r="K23" s="198">
        <v>62.3</v>
      </c>
      <c r="L23" s="90">
        <f t="shared" si="14"/>
        <v>1605.97</v>
      </c>
      <c r="M23" s="104">
        <v>800</v>
      </c>
      <c r="N23" s="92">
        <v>800</v>
      </c>
      <c r="O23" s="93">
        <v>1600</v>
      </c>
      <c r="P23" s="142">
        <f t="shared" si="11"/>
        <v>-805.97</v>
      </c>
      <c r="Q23" s="131">
        <f t="shared" si="12"/>
        <v>-5.9700000000000273</v>
      </c>
      <c r="R23" s="132">
        <f t="shared" si="13"/>
        <v>800</v>
      </c>
      <c r="T23" s="32" t="s">
        <v>240</v>
      </c>
      <c r="U23" s="2"/>
      <c r="W23" s="1"/>
      <c r="X23" s="1"/>
      <c r="Y23" s="1"/>
      <c r="Z23" s="1"/>
      <c r="AA23" s="1"/>
      <c r="AB23" s="1"/>
      <c r="AC23" s="1"/>
      <c r="AD23" s="1" t="s">
        <v>101</v>
      </c>
      <c r="AE23" s="2">
        <v>1691.99</v>
      </c>
      <c r="AH23" s="1"/>
      <c r="AI23" s="1"/>
      <c r="AJ23" s="1"/>
      <c r="AK23" s="1"/>
      <c r="AL23" s="1"/>
      <c r="AM23" s="1"/>
      <c r="AN23" s="1" t="s">
        <v>101</v>
      </c>
      <c r="AO23" s="2">
        <v>124.54</v>
      </c>
      <c r="AQ23" s="1"/>
      <c r="AR23" s="1"/>
      <c r="AS23" s="1"/>
      <c r="AT23" s="1"/>
      <c r="AU23" s="1"/>
      <c r="AV23" s="1"/>
      <c r="AW23" s="1"/>
      <c r="AX23" s="1" t="s">
        <v>101</v>
      </c>
      <c r="AY23" s="2">
        <v>124.79</v>
      </c>
      <c r="BB23" s="1"/>
      <c r="BC23" s="1"/>
      <c r="BD23" s="1"/>
      <c r="BE23" s="1"/>
      <c r="BF23" s="1"/>
      <c r="BG23" s="1"/>
      <c r="BH23" s="1" t="s">
        <v>101</v>
      </c>
      <c r="BI23" s="2">
        <v>310.04000000000002</v>
      </c>
      <c r="BK23" s="1"/>
      <c r="BL23" s="1"/>
      <c r="BM23" s="1"/>
      <c r="BN23" s="1"/>
      <c r="BO23" s="1"/>
      <c r="BP23" s="1"/>
      <c r="BQ23" s="1"/>
      <c r="BR23" s="1" t="s">
        <v>101</v>
      </c>
      <c r="BS23" s="2">
        <v>2600</v>
      </c>
      <c r="BV23" s="1"/>
      <c r="BW23" s="1"/>
      <c r="BX23" s="1"/>
      <c r="BY23" s="1"/>
      <c r="BZ23" s="1"/>
      <c r="CA23" s="1"/>
      <c r="CB23" s="1" t="s">
        <v>101</v>
      </c>
      <c r="CC23" s="2">
        <v>2300</v>
      </c>
      <c r="CF23" s="1"/>
      <c r="CG23" s="1"/>
      <c r="CH23" s="1"/>
      <c r="CI23" s="1"/>
      <c r="CJ23" s="1"/>
      <c r="CK23" s="1"/>
      <c r="CL23" s="1"/>
      <c r="CM23" s="2"/>
      <c r="CP23" s="1"/>
      <c r="CQ23" s="1"/>
      <c r="CR23" s="1"/>
      <c r="CS23" s="1"/>
      <c r="CT23" s="1"/>
      <c r="CU23" s="1"/>
      <c r="CV23" s="1"/>
      <c r="CW23" s="2"/>
      <c r="CZ23" s="1"/>
      <c r="DA23" s="1"/>
      <c r="DB23" s="1"/>
      <c r="DC23" s="1"/>
      <c r="DD23" s="1"/>
      <c r="DE23" s="1"/>
      <c r="DF23" s="1"/>
      <c r="DG23" s="2"/>
    </row>
    <row r="24" spans="1:111" ht="14.65" customHeight="1" x14ac:dyDescent="0.25">
      <c r="A24" s="1"/>
      <c r="B24" s="1"/>
      <c r="C24" s="1"/>
      <c r="D24" s="1"/>
      <c r="E24" s="1"/>
      <c r="F24" s="1"/>
      <c r="G24" s="1" t="s">
        <v>15</v>
      </c>
      <c r="H24" s="137">
        <v>1061.3399999999999</v>
      </c>
      <c r="I24" s="199">
        <v>116.18</v>
      </c>
      <c r="J24" s="199">
        <v>116.18</v>
      </c>
      <c r="K24" s="199">
        <v>116.18</v>
      </c>
      <c r="L24" s="90">
        <f t="shared" si="14"/>
        <v>1409.88</v>
      </c>
      <c r="M24" s="104">
        <v>1200</v>
      </c>
      <c r="N24" s="92">
        <v>1400</v>
      </c>
      <c r="O24" s="93">
        <v>1500</v>
      </c>
      <c r="P24" s="142">
        <f t="shared" si="11"/>
        <v>-9.8800000000001091</v>
      </c>
      <c r="Q24" s="131">
        <f t="shared" si="12"/>
        <v>90.119999999999891</v>
      </c>
      <c r="R24" s="132">
        <f t="shared" si="13"/>
        <v>100</v>
      </c>
      <c r="T24" s="81"/>
      <c r="U24" s="2"/>
      <c r="W24" s="1"/>
      <c r="X24" s="1"/>
      <c r="Y24" s="1"/>
      <c r="Z24" s="1"/>
      <c r="AA24" s="1"/>
      <c r="AB24" s="1"/>
      <c r="AC24" s="1"/>
      <c r="AD24" s="1" t="s">
        <v>14</v>
      </c>
      <c r="AE24" s="2">
        <v>1406.71</v>
      </c>
      <c r="AH24" s="1"/>
      <c r="AI24" s="1"/>
      <c r="AJ24" s="1"/>
      <c r="AK24" s="1"/>
      <c r="AL24" s="1"/>
      <c r="AM24" s="1"/>
      <c r="AN24" s="1" t="s">
        <v>14</v>
      </c>
      <c r="AO24" s="2">
        <v>74.66</v>
      </c>
      <c r="AQ24" s="1"/>
      <c r="AR24" s="1"/>
      <c r="AS24" s="1"/>
      <c r="AT24" s="1"/>
      <c r="AU24" s="1"/>
      <c r="AV24" s="1"/>
      <c r="AW24" s="1"/>
      <c r="AX24" s="1" t="s">
        <v>14</v>
      </c>
      <c r="AY24" s="2">
        <v>62.3</v>
      </c>
      <c r="BB24" s="1"/>
      <c r="BC24" s="1"/>
      <c r="BD24" s="1"/>
      <c r="BE24" s="1"/>
      <c r="BF24" s="1"/>
      <c r="BG24" s="1"/>
      <c r="BH24" s="1" t="s">
        <v>14</v>
      </c>
      <c r="BI24" s="2">
        <v>62.3</v>
      </c>
      <c r="BK24" s="1"/>
      <c r="BL24" s="1"/>
      <c r="BM24" s="1"/>
      <c r="BN24" s="1"/>
      <c r="BO24" s="1"/>
      <c r="BP24" s="1"/>
      <c r="BQ24" s="1"/>
      <c r="BR24" s="1" t="s">
        <v>14</v>
      </c>
      <c r="BS24" s="2">
        <v>800</v>
      </c>
      <c r="BV24" s="1"/>
      <c r="BW24" s="1"/>
      <c r="BX24" s="1"/>
      <c r="BY24" s="1"/>
      <c r="BZ24" s="1"/>
      <c r="CA24" s="1"/>
      <c r="CB24" s="1" t="s">
        <v>14</v>
      </c>
      <c r="CC24" s="2">
        <v>800</v>
      </c>
      <c r="CF24" s="1"/>
      <c r="CG24" s="1"/>
      <c r="CH24" s="1"/>
      <c r="CI24" s="1"/>
      <c r="CJ24" s="1"/>
      <c r="CK24" s="1"/>
      <c r="CL24" s="1"/>
      <c r="CM24" s="2"/>
      <c r="CP24" s="1"/>
      <c r="CQ24" s="1"/>
      <c r="CR24" s="1"/>
      <c r="CS24" s="1"/>
      <c r="CT24" s="1"/>
      <c r="CU24" s="1"/>
      <c r="CV24" s="1"/>
      <c r="CW24" s="2"/>
      <c r="CZ24" s="1"/>
      <c r="DA24" s="1"/>
      <c r="DB24" s="1"/>
      <c r="DC24" s="1"/>
      <c r="DD24" s="1"/>
      <c r="DE24" s="1"/>
      <c r="DF24" s="1"/>
      <c r="DG24" s="2"/>
    </row>
    <row r="25" spans="1:111" ht="14.65" customHeight="1" x14ac:dyDescent="0.25">
      <c r="A25" s="1"/>
      <c r="B25" s="1"/>
      <c r="C25" s="1"/>
      <c r="D25" s="1"/>
      <c r="E25" s="1"/>
      <c r="F25" s="1"/>
      <c r="G25" s="1" t="s">
        <v>16</v>
      </c>
      <c r="H25" s="137">
        <v>767.4</v>
      </c>
      <c r="I25" s="198">
        <v>69.34</v>
      </c>
      <c r="J25" s="198">
        <v>74.16</v>
      </c>
      <c r="K25" s="198">
        <v>-20.079999999999998</v>
      </c>
      <c r="L25" s="90">
        <f t="shared" si="14"/>
        <v>890.81999999999994</v>
      </c>
      <c r="M25" s="104">
        <v>1000</v>
      </c>
      <c r="N25" s="92">
        <v>1000</v>
      </c>
      <c r="O25" s="93">
        <v>1000</v>
      </c>
      <c r="P25" s="142">
        <f t="shared" si="11"/>
        <v>109.18000000000006</v>
      </c>
      <c r="Q25" s="131">
        <f t="shared" si="12"/>
        <v>109.18000000000006</v>
      </c>
      <c r="R25" s="132">
        <f t="shared" si="13"/>
        <v>0</v>
      </c>
      <c r="T25" s="32"/>
      <c r="U25" s="2"/>
      <c r="W25" s="1"/>
      <c r="X25" s="1"/>
      <c r="Y25" s="1"/>
      <c r="Z25" s="1"/>
      <c r="AA25" s="1"/>
      <c r="AB25" s="1"/>
      <c r="AC25" s="1"/>
      <c r="AD25" s="1" t="s">
        <v>15</v>
      </c>
      <c r="AE25" s="2">
        <v>1061.3399999999999</v>
      </c>
      <c r="AH25" s="1"/>
      <c r="AI25" s="1"/>
      <c r="AJ25" s="1"/>
      <c r="AK25" s="1"/>
      <c r="AL25" s="1"/>
      <c r="AM25" s="1"/>
      <c r="AN25" s="1" t="s">
        <v>15</v>
      </c>
      <c r="AO25" s="2">
        <v>116.18</v>
      </c>
      <c r="AQ25" s="1"/>
      <c r="AR25" s="1"/>
      <c r="AS25" s="1"/>
      <c r="AT25" s="1"/>
      <c r="AU25" s="1"/>
      <c r="AV25" s="1"/>
      <c r="AW25" s="1"/>
      <c r="AX25" s="1" t="s">
        <v>15</v>
      </c>
      <c r="AY25" s="2">
        <v>116.18</v>
      </c>
      <c r="BB25" s="1"/>
      <c r="BC25" s="1"/>
      <c r="BD25" s="1"/>
      <c r="BE25" s="1"/>
      <c r="BF25" s="1"/>
      <c r="BG25" s="1"/>
      <c r="BH25" s="1" t="s">
        <v>15</v>
      </c>
      <c r="BI25" s="2">
        <v>116.18</v>
      </c>
      <c r="BK25" s="1"/>
      <c r="BL25" s="1"/>
      <c r="BM25" s="1"/>
      <c r="BN25" s="1"/>
      <c r="BO25" s="1"/>
      <c r="BP25" s="1"/>
      <c r="BQ25" s="1"/>
      <c r="BR25" s="1" t="s">
        <v>15</v>
      </c>
      <c r="BS25" s="2">
        <v>1200</v>
      </c>
      <c r="BV25" s="1"/>
      <c r="BW25" s="1"/>
      <c r="BX25" s="1"/>
      <c r="BY25" s="1"/>
      <c r="BZ25" s="1"/>
      <c r="CA25" s="1"/>
      <c r="CB25" s="1" t="s">
        <v>15</v>
      </c>
      <c r="CC25" s="2">
        <v>1400</v>
      </c>
      <c r="CF25" s="1"/>
      <c r="CG25" s="1"/>
      <c r="CH25" s="1"/>
      <c r="CI25" s="1"/>
      <c r="CJ25" s="1"/>
      <c r="CK25" s="1"/>
      <c r="CL25" s="1"/>
      <c r="CM25" s="2"/>
      <c r="CP25" s="1"/>
      <c r="CQ25" s="1"/>
      <c r="CR25" s="1"/>
      <c r="CS25" s="1"/>
      <c r="CT25" s="1"/>
      <c r="CU25" s="1"/>
      <c r="CV25" s="1"/>
      <c r="CW25" s="2"/>
      <c r="CZ25" s="1"/>
      <c r="DA25" s="1"/>
      <c r="DB25" s="1"/>
      <c r="DC25" s="1"/>
      <c r="DD25" s="1"/>
      <c r="DE25" s="1"/>
      <c r="DF25" s="1"/>
      <c r="DG25" s="2"/>
    </row>
    <row r="26" spans="1:111" ht="14.65" customHeight="1" x14ac:dyDescent="0.25">
      <c r="A26" s="1"/>
      <c r="B26" s="1"/>
      <c r="C26" s="1"/>
      <c r="D26" s="1"/>
      <c r="E26" s="1"/>
      <c r="F26" s="1"/>
      <c r="G26" s="1" t="s">
        <v>17</v>
      </c>
      <c r="H26" s="137">
        <v>507.3</v>
      </c>
      <c r="I26" s="198">
        <v>0</v>
      </c>
      <c r="J26" s="198">
        <v>0</v>
      </c>
      <c r="K26" s="198">
        <v>0</v>
      </c>
      <c r="L26" s="90">
        <f t="shared" si="14"/>
        <v>507.3</v>
      </c>
      <c r="M26" s="104">
        <v>400</v>
      </c>
      <c r="N26" s="92">
        <v>400</v>
      </c>
      <c r="O26" s="93">
        <v>500</v>
      </c>
      <c r="P26" s="142">
        <f t="shared" si="11"/>
        <v>-107.30000000000001</v>
      </c>
      <c r="Q26" s="131">
        <f t="shared" si="12"/>
        <v>-7.3000000000000114</v>
      </c>
      <c r="R26" s="132">
        <f t="shared" si="13"/>
        <v>100</v>
      </c>
      <c r="T26" s="32"/>
      <c r="U26" s="2"/>
      <c r="W26" s="1"/>
      <c r="X26" s="1"/>
      <c r="Y26" s="1"/>
      <c r="Z26" s="1"/>
      <c r="AA26" s="1"/>
      <c r="AB26" s="1"/>
      <c r="AC26" s="1"/>
      <c r="AD26" s="1" t="s">
        <v>16</v>
      </c>
      <c r="AE26" s="2">
        <v>767.4</v>
      </c>
      <c r="AH26" s="1"/>
      <c r="AI26" s="1"/>
      <c r="AJ26" s="1"/>
      <c r="AK26" s="1"/>
      <c r="AL26" s="1"/>
      <c r="AM26" s="1"/>
      <c r="AN26" s="1" t="s">
        <v>16</v>
      </c>
      <c r="AO26" s="2">
        <v>69.34</v>
      </c>
      <c r="AQ26" s="1"/>
      <c r="AR26" s="1"/>
      <c r="AS26" s="1"/>
      <c r="AT26" s="1"/>
      <c r="AU26" s="1"/>
      <c r="AV26" s="1"/>
      <c r="AW26" s="1"/>
      <c r="AX26" s="1" t="s">
        <v>16</v>
      </c>
      <c r="AY26" s="2">
        <v>74.16</v>
      </c>
      <c r="BB26" s="1"/>
      <c r="BC26" s="1"/>
      <c r="BD26" s="1"/>
      <c r="BE26" s="1"/>
      <c r="BF26" s="1"/>
      <c r="BG26" s="1"/>
      <c r="BH26" s="1" t="s">
        <v>16</v>
      </c>
      <c r="BI26" s="2">
        <v>-20.079999999999998</v>
      </c>
      <c r="BK26" s="1"/>
      <c r="BL26" s="1"/>
      <c r="BM26" s="1"/>
      <c r="BN26" s="1"/>
      <c r="BO26" s="1"/>
      <c r="BP26" s="1"/>
      <c r="BQ26" s="1"/>
      <c r="BR26" s="1" t="s">
        <v>16</v>
      </c>
      <c r="BS26" s="2">
        <v>1000</v>
      </c>
      <c r="BV26" s="1"/>
      <c r="BW26" s="1"/>
      <c r="BX26" s="1"/>
      <c r="BY26" s="1"/>
      <c r="BZ26" s="1"/>
      <c r="CA26" s="1"/>
      <c r="CB26" s="1" t="s">
        <v>16</v>
      </c>
      <c r="CC26" s="2">
        <v>1000</v>
      </c>
      <c r="CF26" s="1"/>
      <c r="CG26" s="1"/>
      <c r="CH26" s="1"/>
      <c r="CI26" s="1"/>
      <c r="CJ26" s="1"/>
      <c r="CK26" s="1"/>
      <c r="CL26" s="1"/>
      <c r="CM26" s="2"/>
      <c r="CP26" s="1"/>
      <c r="CQ26" s="1"/>
      <c r="CR26" s="1"/>
      <c r="CS26" s="1"/>
      <c r="CT26" s="1"/>
      <c r="CU26" s="1"/>
      <c r="CV26" s="1"/>
      <c r="CW26" s="2"/>
      <c r="CZ26" s="1"/>
      <c r="DA26" s="1"/>
      <c r="DB26" s="1"/>
      <c r="DC26" s="1"/>
      <c r="DD26" s="1"/>
      <c r="DE26" s="1"/>
      <c r="DF26" s="1"/>
      <c r="DG26" s="2"/>
    </row>
    <row r="27" spans="1:111" ht="14.65" customHeight="1" x14ac:dyDescent="0.25">
      <c r="A27" s="1"/>
      <c r="B27" s="1"/>
      <c r="C27" s="1"/>
      <c r="D27" s="1"/>
      <c r="E27" s="1"/>
      <c r="F27" s="1"/>
      <c r="G27" s="1" t="s">
        <v>18</v>
      </c>
      <c r="H27" s="137">
        <v>12185.01</v>
      </c>
      <c r="I27" s="198">
        <v>642.36</v>
      </c>
      <c r="J27" s="198">
        <v>194.99</v>
      </c>
      <c r="K27" s="198">
        <v>1628.49</v>
      </c>
      <c r="L27" s="90">
        <f t="shared" si="14"/>
        <v>14650.85</v>
      </c>
      <c r="M27" s="104">
        <v>8000</v>
      </c>
      <c r="N27" s="92">
        <v>9000</v>
      </c>
      <c r="O27" s="93">
        <v>10000</v>
      </c>
      <c r="P27" s="142">
        <f t="shared" si="11"/>
        <v>-5650.85</v>
      </c>
      <c r="Q27" s="131">
        <f t="shared" si="12"/>
        <v>-4650.8500000000004</v>
      </c>
      <c r="R27" s="132">
        <f t="shared" si="13"/>
        <v>1000</v>
      </c>
      <c r="T27" s="32" t="s">
        <v>239</v>
      </c>
      <c r="U27" s="2"/>
      <c r="W27" s="1"/>
      <c r="X27" s="1"/>
      <c r="Y27" s="1"/>
      <c r="Z27" s="1"/>
      <c r="AA27" s="1"/>
      <c r="AB27" s="1"/>
      <c r="AC27" s="1"/>
      <c r="AD27" s="1" t="s">
        <v>17</v>
      </c>
      <c r="AE27" s="2">
        <v>507.3</v>
      </c>
      <c r="AH27" s="1"/>
      <c r="AI27" s="1"/>
      <c r="AJ27" s="1"/>
      <c r="AK27" s="1"/>
      <c r="AL27" s="1"/>
      <c r="AM27" s="1"/>
      <c r="AN27" s="1" t="s">
        <v>17</v>
      </c>
      <c r="AO27" s="2">
        <v>0</v>
      </c>
      <c r="AQ27" s="1"/>
      <c r="AR27" s="1"/>
      <c r="AS27" s="1"/>
      <c r="AT27" s="1"/>
      <c r="AU27" s="1"/>
      <c r="AV27" s="1"/>
      <c r="AW27" s="1"/>
      <c r="AX27" s="1" t="s">
        <v>17</v>
      </c>
      <c r="AY27" s="2">
        <v>0</v>
      </c>
      <c r="BB27" s="1"/>
      <c r="BC27" s="1"/>
      <c r="BD27" s="1"/>
      <c r="BE27" s="1"/>
      <c r="BF27" s="1"/>
      <c r="BG27" s="1"/>
      <c r="BH27" s="1" t="s">
        <v>17</v>
      </c>
      <c r="BI27" s="2">
        <v>0</v>
      </c>
      <c r="BK27" s="1"/>
      <c r="BL27" s="1"/>
      <c r="BM27" s="1"/>
      <c r="BN27" s="1"/>
      <c r="BO27" s="1"/>
      <c r="BP27" s="1"/>
      <c r="BQ27" s="1"/>
      <c r="BR27" s="1" t="s">
        <v>17</v>
      </c>
      <c r="BS27" s="2">
        <v>400</v>
      </c>
      <c r="BV27" s="1"/>
      <c r="BW27" s="1"/>
      <c r="BX27" s="1"/>
      <c r="BY27" s="1"/>
      <c r="BZ27" s="1"/>
      <c r="CA27" s="1"/>
      <c r="CB27" s="1" t="s">
        <v>17</v>
      </c>
      <c r="CC27" s="2">
        <v>400</v>
      </c>
      <c r="CF27" s="1"/>
      <c r="CG27" s="1"/>
      <c r="CH27" s="1"/>
      <c r="CI27" s="1"/>
      <c r="CJ27" s="1"/>
      <c r="CK27" s="1"/>
      <c r="CL27" s="1"/>
      <c r="CM27" s="2"/>
      <c r="CP27" s="1"/>
      <c r="CQ27" s="1"/>
      <c r="CR27" s="1"/>
      <c r="CS27" s="1"/>
      <c r="CT27" s="1"/>
      <c r="CU27" s="1"/>
      <c r="CV27" s="1"/>
      <c r="CW27" s="2"/>
      <c r="CZ27" s="1"/>
      <c r="DA27" s="1"/>
      <c r="DB27" s="1"/>
      <c r="DC27" s="1"/>
      <c r="DD27" s="1"/>
      <c r="DE27" s="1"/>
      <c r="DF27" s="1"/>
      <c r="DG27" s="2"/>
    </row>
    <row r="28" spans="1:111" ht="14.65" customHeight="1" x14ac:dyDescent="0.25">
      <c r="A28" s="1"/>
      <c r="B28" s="1"/>
      <c r="C28" s="1"/>
      <c r="D28" s="1"/>
      <c r="E28" s="1"/>
      <c r="F28" s="1"/>
      <c r="G28" s="1" t="s">
        <v>19</v>
      </c>
      <c r="H28" s="137">
        <v>0</v>
      </c>
      <c r="I28" s="198">
        <v>0</v>
      </c>
      <c r="J28" s="198">
        <v>0</v>
      </c>
      <c r="K28" s="198">
        <v>0</v>
      </c>
      <c r="L28" s="90">
        <f t="shared" si="14"/>
        <v>0</v>
      </c>
      <c r="M28" s="104">
        <v>1500</v>
      </c>
      <c r="N28" s="92">
        <v>1000</v>
      </c>
      <c r="O28" s="93">
        <v>1000</v>
      </c>
      <c r="P28" s="142">
        <f t="shared" si="11"/>
        <v>1000</v>
      </c>
      <c r="Q28" s="131">
        <f t="shared" si="12"/>
        <v>1000</v>
      </c>
      <c r="R28" s="132">
        <f t="shared" si="13"/>
        <v>0</v>
      </c>
      <c r="T28" s="32"/>
      <c r="U28" s="2"/>
      <c r="W28" s="1"/>
      <c r="X28" s="1"/>
      <c r="Y28" s="1"/>
      <c r="Z28" s="1"/>
      <c r="AA28" s="1"/>
      <c r="AB28" s="1"/>
      <c r="AC28" s="1"/>
      <c r="AD28" s="1" t="s">
        <v>18</v>
      </c>
      <c r="AE28" s="2">
        <v>12185.01</v>
      </c>
      <c r="AH28" s="1"/>
      <c r="AI28" s="1"/>
      <c r="AJ28" s="1"/>
      <c r="AK28" s="1"/>
      <c r="AL28" s="1"/>
      <c r="AM28" s="1"/>
      <c r="AN28" s="1" t="s">
        <v>18</v>
      </c>
      <c r="AO28" s="2">
        <v>642.36</v>
      </c>
      <c r="AQ28" s="1"/>
      <c r="AR28" s="1"/>
      <c r="AS28" s="1"/>
      <c r="AT28" s="1"/>
      <c r="AU28" s="1"/>
      <c r="AV28" s="1"/>
      <c r="AW28" s="1"/>
      <c r="AX28" s="1" t="s">
        <v>18</v>
      </c>
      <c r="AY28" s="2">
        <v>194.99</v>
      </c>
      <c r="BB28" s="1"/>
      <c r="BC28" s="1"/>
      <c r="BD28" s="1"/>
      <c r="BE28" s="1"/>
      <c r="BF28" s="1"/>
      <c r="BG28" s="1"/>
      <c r="BH28" s="1" t="s">
        <v>18</v>
      </c>
      <c r="BI28" s="2">
        <v>1628.49</v>
      </c>
      <c r="BK28" s="1"/>
      <c r="BL28" s="1"/>
      <c r="BM28" s="1"/>
      <c r="BN28" s="1"/>
      <c r="BO28" s="1"/>
      <c r="BP28" s="1"/>
      <c r="BQ28" s="1"/>
      <c r="BR28" s="1" t="s">
        <v>18</v>
      </c>
      <c r="BS28" s="2">
        <v>8000</v>
      </c>
      <c r="BV28" s="1"/>
      <c r="BW28" s="1"/>
      <c r="BX28" s="1"/>
      <c r="BY28" s="1"/>
      <c r="BZ28" s="1"/>
      <c r="CA28" s="1"/>
      <c r="CB28" s="1" t="s">
        <v>18</v>
      </c>
      <c r="CC28" s="2">
        <v>9000</v>
      </c>
      <c r="CF28" s="1"/>
      <c r="CG28" s="1"/>
      <c r="CH28" s="1"/>
      <c r="CI28" s="1"/>
      <c r="CJ28" s="1"/>
      <c r="CK28" s="1"/>
      <c r="CL28" s="1"/>
      <c r="CM28" s="2"/>
      <c r="CP28" s="1"/>
      <c r="CQ28" s="1"/>
      <c r="CR28" s="1"/>
      <c r="CS28" s="1"/>
      <c r="CT28" s="1"/>
      <c r="CU28" s="1"/>
      <c r="CV28" s="1"/>
      <c r="CW28" s="2"/>
      <c r="CZ28" s="1"/>
      <c r="DA28" s="1"/>
      <c r="DB28" s="1"/>
      <c r="DC28" s="1"/>
      <c r="DD28" s="1"/>
      <c r="DE28" s="1"/>
      <c r="DF28" s="1"/>
      <c r="DG28" s="2"/>
    </row>
    <row r="29" spans="1:111" ht="14.65" customHeight="1" x14ac:dyDescent="0.25">
      <c r="A29" s="1"/>
      <c r="B29" s="1"/>
      <c r="C29" s="1"/>
      <c r="D29" s="1"/>
      <c r="E29" s="1"/>
      <c r="F29" s="1"/>
      <c r="G29" s="1" t="s">
        <v>20</v>
      </c>
      <c r="H29" s="137">
        <v>16435</v>
      </c>
      <c r="I29" s="198">
        <v>0</v>
      </c>
      <c r="J29" s="198">
        <v>4171</v>
      </c>
      <c r="K29" s="198">
        <v>0</v>
      </c>
      <c r="L29" s="90">
        <f t="shared" si="14"/>
        <v>20606</v>
      </c>
      <c r="M29" s="104">
        <v>14000</v>
      </c>
      <c r="N29" s="92">
        <v>17000</v>
      </c>
      <c r="O29" s="93">
        <v>21000</v>
      </c>
      <c r="P29" s="142">
        <f t="shared" si="11"/>
        <v>-3606</v>
      </c>
      <c r="Q29" s="131">
        <f t="shared" si="12"/>
        <v>394</v>
      </c>
      <c r="R29" s="132">
        <f t="shared" si="13"/>
        <v>4000</v>
      </c>
      <c r="T29" s="81"/>
      <c r="U29" s="2"/>
      <c r="W29" s="1"/>
      <c r="X29" s="1"/>
      <c r="Y29" s="1"/>
      <c r="Z29" s="1"/>
      <c r="AA29" s="1"/>
      <c r="AB29" s="1"/>
      <c r="AC29" s="1"/>
      <c r="AD29" s="1" t="s">
        <v>19</v>
      </c>
      <c r="AE29" s="2">
        <v>0</v>
      </c>
      <c r="AH29" s="1"/>
      <c r="AI29" s="1"/>
      <c r="AJ29" s="1"/>
      <c r="AK29" s="1"/>
      <c r="AL29" s="1"/>
      <c r="AM29" s="1"/>
      <c r="AN29" s="1" t="s">
        <v>19</v>
      </c>
      <c r="AO29" s="2">
        <v>0</v>
      </c>
      <c r="AQ29" s="1"/>
      <c r="AR29" s="1"/>
      <c r="AS29" s="1"/>
      <c r="AT29" s="1"/>
      <c r="AU29" s="1"/>
      <c r="AV29" s="1"/>
      <c r="AW29" s="1"/>
      <c r="AX29" s="1" t="s">
        <v>19</v>
      </c>
      <c r="AY29" s="2">
        <v>0</v>
      </c>
      <c r="BB29" s="1"/>
      <c r="BC29" s="1"/>
      <c r="BD29" s="1"/>
      <c r="BE29" s="1"/>
      <c r="BF29" s="1"/>
      <c r="BG29" s="1"/>
      <c r="BH29" s="1" t="s">
        <v>19</v>
      </c>
      <c r="BI29" s="2">
        <v>0</v>
      </c>
      <c r="BK29" s="1"/>
      <c r="BL29" s="1"/>
      <c r="BM29" s="1"/>
      <c r="BN29" s="1"/>
      <c r="BO29" s="1"/>
      <c r="BP29" s="1"/>
      <c r="BQ29" s="1"/>
      <c r="BR29" s="1" t="s">
        <v>19</v>
      </c>
      <c r="BS29" s="2">
        <v>1500</v>
      </c>
      <c r="BV29" s="1"/>
      <c r="BW29" s="1"/>
      <c r="BX29" s="1"/>
      <c r="BY29" s="1"/>
      <c r="BZ29" s="1"/>
      <c r="CA29" s="1"/>
      <c r="CB29" s="1" t="s">
        <v>19</v>
      </c>
      <c r="CC29" s="2">
        <v>1000</v>
      </c>
      <c r="CF29" s="1"/>
      <c r="CG29" s="1"/>
      <c r="CH29" s="1"/>
      <c r="CI29" s="1"/>
      <c r="CJ29" s="1"/>
      <c r="CK29" s="1"/>
      <c r="CL29" s="1"/>
      <c r="CM29" s="2"/>
      <c r="CP29" s="1"/>
      <c r="CQ29" s="1"/>
      <c r="CR29" s="1"/>
      <c r="CS29" s="1"/>
      <c r="CT29" s="1"/>
      <c r="CU29" s="1"/>
      <c r="CV29" s="1"/>
      <c r="CW29" s="2"/>
      <c r="CZ29" s="1"/>
      <c r="DA29" s="1"/>
      <c r="DB29" s="1"/>
      <c r="DC29" s="1"/>
      <c r="DD29" s="1"/>
      <c r="DE29" s="1"/>
      <c r="DF29" s="1"/>
      <c r="DG29" s="2"/>
    </row>
    <row r="30" spans="1:111" ht="14.65" customHeight="1" x14ac:dyDescent="0.25">
      <c r="A30" s="1"/>
      <c r="B30" s="1"/>
      <c r="C30" s="1"/>
      <c r="D30" s="1"/>
      <c r="E30" s="1"/>
      <c r="F30" s="1"/>
      <c r="G30" s="213" t="s">
        <v>100</v>
      </c>
      <c r="H30" s="137">
        <v>1356.74</v>
      </c>
      <c r="I30" s="198">
        <v>146.80000000000001</v>
      </c>
      <c r="J30" s="198">
        <v>146.80000000000001</v>
      </c>
      <c r="K30" s="198">
        <v>146.80000000000001</v>
      </c>
      <c r="L30" s="216">
        <f t="shared" si="14"/>
        <v>1797.1399999999999</v>
      </c>
      <c r="M30" s="104">
        <v>1600</v>
      </c>
      <c r="N30" s="92">
        <v>1800</v>
      </c>
      <c r="O30" s="93">
        <v>1800</v>
      </c>
      <c r="P30" s="142">
        <f t="shared" si="11"/>
        <v>2.8600000000001273</v>
      </c>
      <c r="Q30" s="131">
        <f t="shared" si="12"/>
        <v>2.8600000000001273</v>
      </c>
      <c r="R30" s="132">
        <f t="shared" si="13"/>
        <v>0</v>
      </c>
      <c r="T30" s="32"/>
      <c r="U30" s="2"/>
      <c r="W30" s="1"/>
      <c r="X30" s="1"/>
      <c r="Y30" s="1"/>
      <c r="Z30" s="1"/>
      <c r="AA30" s="1"/>
      <c r="AB30" s="1"/>
      <c r="AC30" s="1"/>
      <c r="AD30" s="1" t="s">
        <v>20</v>
      </c>
      <c r="AE30" s="2">
        <v>16435</v>
      </c>
      <c r="AH30" s="1"/>
      <c r="AI30" s="1"/>
      <c r="AJ30" s="1"/>
      <c r="AK30" s="1"/>
      <c r="AL30" s="1"/>
      <c r="AM30" s="1"/>
      <c r="AN30" s="1" t="s">
        <v>20</v>
      </c>
      <c r="AO30" s="2">
        <v>0</v>
      </c>
      <c r="AQ30" s="1"/>
      <c r="AR30" s="1"/>
      <c r="AS30" s="1"/>
      <c r="AT30" s="1"/>
      <c r="AU30" s="1"/>
      <c r="AV30" s="1"/>
      <c r="AW30" s="1"/>
      <c r="AX30" s="1" t="s">
        <v>20</v>
      </c>
      <c r="AY30" s="2">
        <v>4171</v>
      </c>
      <c r="BB30" s="1"/>
      <c r="BC30" s="1"/>
      <c r="BD30" s="1"/>
      <c r="BE30" s="1"/>
      <c r="BF30" s="1"/>
      <c r="BG30" s="1"/>
      <c r="BH30" s="1" t="s">
        <v>20</v>
      </c>
      <c r="BI30" s="2">
        <v>0</v>
      </c>
      <c r="BK30" s="1"/>
      <c r="BL30" s="1"/>
      <c r="BM30" s="1"/>
      <c r="BN30" s="1"/>
      <c r="BO30" s="1"/>
      <c r="BP30" s="1"/>
      <c r="BQ30" s="1"/>
      <c r="BR30" s="1" t="s">
        <v>20</v>
      </c>
      <c r="BS30" s="2">
        <v>14000</v>
      </c>
      <c r="BV30" s="1"/>
      <c r="BW30" s="1"/>
      <c r="BX30" s="1"/>
      <c r="BY30" s="1"/>
      <c r="BZ30" s="1"/>
      <c r="CA30" s="1"/>
      <c r="CB30" s="1" t="s">
        <v>20</v>
      </c>
      <c r="CC30" s="2">
        <v>17000</v>
      </c>
      <c r="CF30" s="1"/>
      <c r="CG30" s="1"/>
      <c r="CH30" s="1"/>
      <c r="CI30" s="1"/>
      <c r="CJ30" s="1"/>
      <c r="CK30" s="1"/>
      <c r="CL30" s="1"/>
      <c r="CM30" s="2"/>
      <c r="CP30" s="1"/>
      <c r="CQ30" s="1"/>
      <c r="CR30" s="1"/>
      <c r="CS30" s="1"/>
      <c r="CT30" s="1"/>
      <c r="CU30" s="1"/>
      <c r="CV30" s="1"/>
      <c r="CW30" s="2"/>
      <c r="CZ30" s="1"/>
      <c r="DA30" s="1"/>
      <c r="DB30" s="1"/>
      <c r="DC30" s="1"/>
      <c r="DD30" s="1"/>
      <c r="DE30" s="1"/>
      <c r="DF30" s="1"/>
      <c r="DG30" s="2"/>
    </row>
    <row r="31" spans="1:111" ht="14.65" customHeight="1" x14ac:dyDescent="0.25">
      <c r="A31" s="1"/>
      <c r="B31" s="1"/>
      <c r="C31" s="1"/>
      <c r="D31" s="1"/>
      <c r="E31" s="1"/>
      <c r="F31" s="1"/>
      <c r="G31" s="213" t="s">
        <v>21</v>
      </c>
      <c r="H31" s="137">
        <v>2183.23</v>
      </c>
      <c r="I31" s="198">
        <v>0</v>
      </c>
      <c r="J31" s="198">
        <v>992.98</v>
      </c>
      <c r="K31" s="198">
        <v>3000</v>
      </c>
      <c r="L31" s="216">
        <f t="shared" si="14"/>
        <v>6176.21</v>
      </c>
      <c r="M31" s="104">
        <v>2500</v>
      </c>
      <c r="N31" s="92">
        <v>3000</v>
      </c>
      <c r="O31" s="93">
        <v>5000</v>
      </c>
      <c r="P31" s="142">
        <f t="shared" si="11"/>
        <v>-3176.21</v>
      </c>
      <c r="Q31" s="131">
        <f t="shared" si="12"/>
        <v>-1176.21</v>
      </c>
      <c r="R31" s="132">
        <f t="shared" si="13"/>
        <v>2000</v>
      </c>
      <c r="T31" s="32"/>
      <c r="U31" s="2"/>
      <c r="W31" s="1"/>
      <c r="X31" s="1"/>
      <c r="Y31" s="1"/>
      <c r="Z31" s="1"/>
      <c r="AA31" s="1"/>
      <c r="AB31" s="1"/>
      <c r="AC31" s="1"/>
      <c r="AD31" s="211" t="s">
        <v>100</v>
      </c>
      <c r="AE31" s="212">
        <v>1356.74</v>
      </c>
      <c r="AH31" s="1"/>
      <c r="AI31" s="1"/>
      <c r="AJ31" s="1"/>
      <c r="AK31" s="1"/>
      <c r="AL31" s="1"/>
      <c r="AM31" s="1"/>
      <c r="AN31" s="211" t="s">
        <v>100</v>
      </c>
      <c r="AO31" s="212">
        <v>146.80000000000001</v>
      </c>
      <c r="AQ31" s="1"/>
      <c r="AR31" s="1"/>
      <c r="AS31" s="1"/>
      <c r="AT31" s="1"/>
      <c r="AU31" s="1"/>
      <c r="AV31" s="1"/>
      <c r="AW31" s="1"/>
      <c r="AX31" s="211" t="s">
        <v>100</v>
      </c>
      <c r="AY31" s="212">
        <v>146.80000000000001</v>
      </c>
      <c r="BB31" s="1"/>
      <c r="BC31" s="1"/>
      <c r="BD31" s="1"/>
      <c r="BE31" s="1"/>
      <c r="BF31" s="1"/>
      <c r="BG31" s="1"/>
      <c r="BH31" s="211" t="s">
        <v>100</v>
      </c>
      <c r="BI31" s="212">
        <v>146.80000000000001</v>
      </c>
      <c r="BK31" s="1"/>
      <c r="BL31" s="1"/>
      <c r="BM31" s="1"/>
      <c r="BN31" s="1"/>
      <c r="BO31" s="1"/>
      <c r="BP31" s="1"/>
      <c r="BQ31" s="1"/>
      <c r="BR31" s="211" t="s">
        <v>100</v>
      </c>
      <c r="BS31" s="212">
        <v>1600</v>
      </c>
      <c r="BV31" s="1"/>
      <c r="BW31" s="1"/>
      <c r="BX31" s="1"/>
      <c r="BY31" s="1"/>
      <c r="BZ31" s="1"/>
      <c r="CA31" s="1"/>
      <c r="CB31" s="211" t="s">
        <v>100</v>
      </c>
      <c r="CC31" s="212">
        <v>1800</v>
      </c>
      <c r="CF31" s="1"/>
      <c r="CG31" s="1"/>
      <c r="CH31" s="1"/>
      <c r="CI31" s="1"/>
      <c r="CJ31" s="1"/>
      <c r="CK31" s="1"/>
      <c r="CL31" s="1"/>
      <c r="CM31" s="2"/>
      <c r="CP31" s="1"/>
      <c r="CQ31" s="1"/>
      <c r="CR31" s="1"/>
      <c r="CS31" s="1"/>
      <c r="CT31" s="1"/>
      <c r="CU31" s="1"/>
      <c r="CV31" s="1"/>
      <c r="CW31" s="2"/>
      <c r="CZ31" s="1"/>
      <c r="DA31" s="1"/>
      <c r="DB31" s="1"/>
      <c r="DC31" s="1"/>
      <c r="DD31" s="1"/>
      <c r="DE31" s="1"/>
      <c r="DF31" s="1"/>
      <c r="DG31" s="2"/>
    </row>
    <row r="32" spans="1:111" ht="14.65" customHeight="1" x14ac:dyDescent="0.25">
      <c r="A32" s="1"/>
      <c r="B32" s="1"/>
      <c r="C32" s="1"/>
      <c r="D32" s="1"/>
      <c r="E32" s="1"/>
      <c r="F32" s="1"/>
      <c r="G32" s="213" t="s">
        <v>22</v>
      </c>
      <c r="H32" s="137">
        <v>700</v>
      </c>
      <c r="I32" s="198">
        <v>0</v>
      </c>
      <c r="J32" s="198">
        <f>5016+5333</f>
        <v>10349</v>
      </c>
      <c r="K32" s="198">
        <v>0</v>
      </c>
      <c r="L32" s="216">
        <f t="shared" si="14"/>
        <v>11049</v>
      </c>
      <c r="M32" s="104">
        <v>7750</v>
      </c>
      <c r="N32" s="92">
        <v>7000</v>
      </c>
      <c r="O32" s="93">
        <f>5000+5500</f>
        <v>10500</v>
      </c>
      <c r="P32" s="142">
        <f t="shared" si="11"/>
        <v>-4049</v>
      </c>
      <c r="Q32" s="131">
        <f t="shared" si="12"/>
        <v>-549</v>
      </c>
      <c r="R32" s="132">
        <f t="shared" si="13"/>
        <v>3500</v>
      </c>
      <c r="T32" s="32" t="s">
        <v>254</v>
      </c>
      <c r="U32" s="2"/>
      <c r="W32" s="1"/>
      <c r="X32" s="1"/>
      <c r="Y32" s="1"/>
      <c r="Z32" s="1"/>
      <c r="AA32" s="1"/>
      <c r="AB32" s="1"/>
      <c r="AC32" s="1"/>
      <c r="AD32" s="211" t="s">
        <v>21</v>
      </c>
      <c r="AE32" s="212">
        <v>2183.23</v>
      </c>
      <c r="AH32" s="1"/>
      <c r="AI32" s="1"/>
      <c r="AJ32" s="1"/>
      <c r="AK32" s="1"/>
      <c r="AL32" s="1"/>
      <c r="AM32" s="1"/>
      <c r="AN32" s="211" t="s">
        <v>21</v>
      </c>
      <c r="AO32" s="212">
        <v>0</v>
      </c>
      <c r="AQ32" s="1"/>
      <c r="AR32" s="1"/>
      <c r="AS32" s="1"/>
      <c r="AT32" s="1"/>
      <c r="AU32" s="1"/>
      <c r="AV32" s="1"/>
      <c r="AW32" s="1"/>
      <c r="AX32" s="211" t="s">
        <v>21</v>
      </c>
      <c r="AY32" s="212">
        <v>992.98</v>
      </c>
      <c r="BB32" s="1"/>
      <c r="BC32" s="1"/>
      <c r="BD32" s="1"/>
      <c r="BE32" s="1"/>
      <c r="BF32" s="1"/>
      <c r="BG32" s="1"/>
      <c r="BH32" s="211" t="s">
        <v>21</v>
      </c>
      <c r="BI32" s="212">
        <v>4609.79</v>
      </c>
      <c r="BK32" s="1"/>
      <c r="BL32" s="1"/>
      <c r="BM32" s="1"/>
      <c r="BN32" s="1"/>
      <c r="BO32" s="1"/>
      <c r="BP32" s="1"/>
      <c r="BQ32" s="1"/>
      <c r="BR32" s="211" t="s">
        <v>21</v>
      </c>
      <c r="BS32" s="212">
        <v>2500</v>
      </c>
      <c r="BV32" s="1"/>
      <c r="BW32" s="1"/>
      <c r="BX32" s="1"/>
      <c r="BY32" s="1"/>
      <c r="BZ32" s="1"/>
      <c r="CA32" s="1"/>
      <c r="CB32" s="211" t="s">
        <v>21</v>
      </c>
      <c r="CC32" s="212">
        <v>3000</v>
      </c>
      <c r="CF32" s="1"/>
      <c r="CG32" s="1"/>
      <c r="CH32" s="1"/>
      <c r="CI32" s="1"/>
      <c r="CJ32" s="1"/>
      <c r="CK32" s="1"/>
      <c r="CL32" s="1"/>
      <c r="CM32" s="2"/>
      <c r="CP32" s="1"/>
      <c r="CQ32" s="1"/>
      <c r="CR32" s="1"/>
      <c r="CS32" s="1"/>
      <c r="CT32" s="1"/>
      <c r="CU32" s="1"/>
      <c r="CV32" s="1"/>
      <c r="CW32" s="2"/>
      <c r="CZ32" s="1"/>
      <c r="DA32" s="1"/>
      <c r="DB32" s="1"/>
      <c r="DC32" s="1"/>
      <c r="DD32" s="1"/>
      <c r="DE32" s="1"/>
      <c r="DF32" s="1"/>
      <c r="DG32" s="2"/>
    </row>
    <row r="33" spans="1:111" ht="14.65" customHeight="1" x14ac:dyDescent="0.25">
      <c r="A33" s="1"/>
      <c r="B33" s="1"/>
      <c r="C33" s="1"/>
      <c r="D33" s="1"/>
      <c r="E33" s="1"/>
      <c r="F33" s="1"/>
      <c r="G33" s="1" t="s">
        <v>23</v>
      </c>
      <c r="H33" s="137">
        <v>2755</v>
      </c>
      <c r="I33" s="198">
        <v>435</v>
      </c>
      <c r="J33" s="198">
        <v>580</v>
      </c>
      <c r="K33" s="198">
        <v>435</v>
      </c>
      <c r="L33" s="90">
        <f t="shared" si="14"/>
        <v>4205</v>
      </c>
      <c r="M33" s="104">
        <v>5000</v>
      </c>
      <c r="N33" s="92">
        <v>4500</v>
      </c>
      <c r="O33" s="93">
        <v>4500</v>
      </c>
      <c r="P33" s="142">
        <f t="shared" si="11"/>
        <v>295</v>
      </c>
      <c r="Q33" s="131">
        <f t="shared" si="12"/>
        <v>295</v>
      </c>
      <c r="R33" s="132">
        <f t="shared" si="13"/>
        <v>0</v>
      </c>
      <c r="T33" s="32"/>
      <c r="U33" s="2"/>
      <c r="W33" s="1"/>
      <c r="X33" s="1"/>
      <c r="Y33" s="1"/>
      <c r="Z33" s="1"/>
      <c r="AA33" s="1"/>
      <c r="AB33" s="1"/>
      <c r="AC33" s="1"/>
      <c r="AD33" s="211" t="s">
        <v>22</v>
      </c>
      <c r="AE33" s="212">
        <v>700</v>
      </c>
      <c r="AH33" s="1"/>
      <c r="AI33" s="1"/>
      <c r="AJ33" s="1"/>
      <c r="AK33" s="1"/>
      <c r="AL33" s="1"/>
      <c r="AM33" s="1"/>
      <c r="AN33" s="211" t="s">
        <v>22</v>
      </c>
      <c r="AO33" s="212">
        <v>0</v>
      </c>
      <c r="AQ33" s="1"/>
      <c r="AR33" s="1"/>
      <c r="AS33" s="1"/>
      <c r="AT33" s="1"/>
      <c r="AU33" s="1"/>
      <c r="AV33" s="1"/>
      <c r="AW33" s="1"/>
      <c r="AX33" s="211" t="s">
        <v>22</v>
      </c>
      <c r="AY33" s="212">
        <v>6603.91</v>
      </c>
      <c r="BB33" s="1"/>
      <c r="BC33" s="1"/>
      <c r="BD33" s="1"/>
      <c r="BE33" s="1"/>
      <c r="BF33" s="1"/>
      <c r="BG33" s="1"/>
      <c r="BH33" s="211" t="s">
        <v>22</v>
      </c>
      <c r="BI33" s="212">
        <v>0</v>
      </c>
      <c r="BK33" s="1"/>
      <c r="BL33" s="1"/>
      <c r="BM33" s="1"/>
      <c r="BN33" s="1"/>
      <c r="BO33" s="1"/>
      <c r="BP33" s="1"/>
      <c r="BQ33" s="1"/>
      <c r="BR33" s="211" t="s">
        <v>22</v>
      </c>
      <c r="BS33" s="212">
        <v>7750</v>
      </c>
      <c r="BV33" s="1"/>
      <c r="BW33" s="1"/>
      <c r="BX33" s="1"/>
      <c r="BY33" s="1"/>
      <c r="BZ33" s="1"/>
      <c r="CA33" s="1"/>
      <c r="CB33" s="211" t="s">
        <v>22</v>
      </c>
      <c r="CC33" s="212">
        <v>7000</v>
      </c>
      <c r="CF33" s="1"/>
      <c r="CG33" s="1"/>
      <c r="CH33" s="1"/>
      <c r="CI33" s="1"/>
      <c r="CJ33" s="1"/>
      <c r="CK33" s="1"/>
      <c r="CL33" s="1"/>
      <c r="CM33" s="2"/>
      <c r="CP33" s="1"/>
      <c r="CQ33" s="1"/>
      <c r="CR33" s="1"/>
      <c r="CS33" s="1"/>
      <c r="CT33" s="1"/>
      <c r="CU33" s="1"/>
      <c r="CV33" s="1"/>
      <c r="CW33" s="2"/>
      <c r="CZ33" s="1"/>
      <c r="DA33" s="1"/>
      <c r="DB33" s="1"/>
      <c r="DC33" s="1"/>
      <c r="DD33" s="1"/>
      <c r="DE33" s="1"/>
      <c r="DF33" s="1"/>
      <c r="DG33" s="2"/>
    </row>
    <row r="34" spans="1:111" ht="14.65" customHeight="1" x14ac:dyDescent="0.25">
      <c r="A34" s="1"/>
      <c r="B34" s="1"/>
      <c r="C34" s="1"/>
      <c r="D34" s="1"/>
      <c r="E34" s="1"/>
      <c r="F34" s="1"/>
      <c r="G34" s="1" t="s">
        <v>24</v>
      </c>
      <c r="H34" s="137">
        <v>450</v>
      </c>
      <c r="I34" s="198">
        <v>0</v>
      </c>
      <c r="J34" s="198">
        <v>0</v>
      </c>
      <c r="K34" s="198">
        <v>0</v>
      </c>
      <c r="L34" s="90">
        <f t="shared" si="14"/>
        <v>450</v>
      </c>
      <c r="M34" s="104">
        <v>1200</v>
      </c>
      <c r="N34" s="92">
        <v>1000</v>
      </c>
      <c r="O34" s="93">
        <v>1000</v>
      </c>
      <c r="P34" s="142">
        <f t="shared" si="11"/>
        <v>550</v>
      </c>
      <c r="Q34" s="131">
        <f t="shared" si="12"/>
        <v>550</v>
      </c>
      <c r="R34" s="132">
        <f t="shared" si="13"/>
        <v>0</v>
      </c>
      <c r="T34" s="32"/>
      <c r="U34" s="2"/>
      <c r="W34" s="1"/>
      <c r="X34" s="1"/>
      <c r="Y34" s="1"/>
      <c r="Z34" s="1"/>
      <c r="AA34" s="1"/>
      <c r="AB34" s="1"/>
      <c r="AC34" s="1"/>
      <c r="AD34" s="1" t="s">
        <v>23</v>
      </c>
      <c r="AE34" s="2">
        <v>2755</v>
      </c>
      <c r="AH34" s="1"/>
      <c r="AI34" s="1"/>
      <c r="AJ34" s="1"/>
      <c r="AK34" s="1"/>
      <c r="AL34" s="1"/>
      <c r="AM34" s="1"/>
      <c r="AN34" s="1" t="s">
        <v>23</v>
      </c>
      <c r="AO34" s="2">
        <v>435</v>
      </c>
      <c r="AQ34" s="1"/>
      <c r="AR34" s="1"/>
      <c r="AS34" s="1"/>
      <c r="AT34" s="1"/>
      <c r="AU34" s="1"/>
      <c r="AV34" s="1"/>
      <c r="AW34" s="1"/>
      <c r="AX34" s="1" t="s">
        <v>23</v>
      </c>
      <c r="AY34" s="2">
        <v>580</v>
      </c>
      <c r="BB34" s="1"/>
      <c r="BC34" s="1"/>
      <c r="BD34" s="1"/>
      <c r="BE34" s="1"/>
      <c r="BF34" s="1"/>
      <c r="BG34" s="1"/>
      <c r="BH34" s="1" t="s">
        <v>23</v>
      </c>
      <c r="BI34" s="2">
        <v>435</v>
      </c>
      <c r="BK34" s="1"/>
      <c r="BL34" s="1"/>
      <c r="BM34" s="1"/>
      <c r="BN34" s="1"/>
      <c r="BO34" s="1"/>
      <c r="BP34" s="1"/>
      <c r="BQ34" s="1"/>
      <c r="BR34" s="1" t="s">
        <v>23</v>
      </c>
      <c r="BS34" s="2">
        <v>5000</v>
      </c>
      <c r="BV34" s="1"/>
      <c r="BW34" s="1"/>
      <c r="BX34" s="1"/>
      <c r="BY34" s="1"/>
      <c r="BZ34" s="1"/>
      <c r="CA34" s="1"/>
      <c r="CB34" s="1" t="s">
        <v>23</v>
      </c>
      <c r="CC34" s="2">
        <v>4500</v>
      </c>
      <c r="CF34" s="1"/>
      <c r="CG34" s="1"/>
      <c r="CH34" s="1"/>
      <c r="CI34" s="1"/>
      <c r="CJ34" s="1"/>
      <c r="CK34" s="1"/>
      <c r="CL34" s="1"/>
      <c r="CM34" s="2"/>
      <c r="CP34" s="1"/>
      <c r="CQ34" s="1"/>
      <c r="CR34" s="1"/>
      <c r="CS34" s="1"/>
      <c r="CT34" s="1"/>
      <c r="CU34" s="1"/>
      <c r="CV34" s="1"/>
      <c r="CW34" s="2"/>
      <c r="CZ34" s="1"/>
      <c r="DA34" s="1"/>
      <c r="DB34" s="1"/>
      <c r="DC34" s="1"/>
      <c r="DD34" s="1"/>
      <c r="DE34" s="1"/>
      <c r="DF34" s="1"/>
      <c r="DG34" s="2"/>
    </row>
    <row r="35" spans="1:111" ht="14.65" customHeight="1" thickBot="1" x14ac:dyDescent="0.3">
      <c r="A35" s="1"/>
      <c r="B35" s="69"/>
      <c r="C35" s="69"/>
      <c r="D35" s="69"/>
      <c r="E35" s="69"/>
      <c r="F35" s="69"/>
      <c r="G35" s="70" t="s">
        <v>97</v>
      </c>
      <c r="H35" s="138">
        <v>343.01</v>
      </c>
      <c r="I35" s="200">
        <v>85.38</v>
      </c>
      <c r="J35" s="200">
        <v>0</v>
      </c>
      <c r="K35" s="200">
        <v>182.13</v>
      </c>
      <c r="L35" s="94">
        <f t="shared" si="14"/>
        <v>610.52</v>
      </c>
      <c r="M35" s="105">
        <v>1250</v>
      </c>
      <c r="N35" s="106">
        <v>1050</v>
      </c>
      <c r="O35" s="107">
        <v>800</v>
      </c>
      <c r="P35" s="143">
        <f t="shared" si="11"/>
        <v>439.48</v>
      </c>
      <c r="Q35" s="133">
        <f t="shared" si="12"/>
        <v>189.48000000000002</v>
      </c>
      <c r="R35" s="134">
        <f t="shared" si="13"/>
        <v>-250</v>
      </c>
      <c r="T35" s="32"/>
      <c r="U35" s="2"/>
      <c r="W35" s="1"/>
      <c r="X35" s="1"/>
      <c r="Y35" s="1"/>
      <c r="Z35" s="1"/>
      <c r="AA35" s="1"/>
      <c r="AB35" s="1"/>
      <c r="AC35" s="1"/>
      <c r="AD35" s="1" t="s">
        <v>24</v>
      </c>
      <c r="AE35" s="2">
        <v>450</v>
      </c>
      <c r="AH35" s="1"/>
      <c r="AI35" s="1"/>
      <c r="AJ35" s="1"/>
      <c r="AK35" s="1"/>
      <c r="AL35" s="1"/>
      <c r="AM35" s="1"/>
      <c r="AN35" s="1" t="s">
        <v>24</v>
      </c>
      <c r="AO35" s="2">
        <v>0</v>
      </c>
      <c r="AQ35" s="1"/>
      <c r="AR35" s="1"/>
      <c r="AS35" s="1"/>
      <c r="AT35" s="1"/>
      <c r="AU35" s="1"/>
      <c r="AV35" s="1"/>
      <c r="AW35" s="1"/>
      <c r="AX35" s="1" t="s">
        <v>24</v>
      </c>
      <c r="AY35" s="2">
        <v>0</v>
      </c>
      <c r="BB35" s="1"/>
      <c r="BC35" s="1"/>
      <c r="BD35" s="1"/>
      <c r="BE35" s="1"/>
      <c r="BF35" s="1"/>
      <c r="BG35" s="1"/>
      <c r="BH35" s="1" t="s">
        <v>24</v>
      </c>
      <c r="BI35" s="2">
        <v>0</v>
      </c>
      <c r="BK35" s="1"/>
      <c r="BL35" s="1"/>
      <c r="BM35" s="1"/>
      <c r="BN35" s="1"/>
      <c r="BO35" s="1"/>
      <c r="BP35" s="1"/>
      <c r="BQ35" s="1"/>
      <c r="BR35" s="1" t="s">
        <v>24</v>
      </c>
      <c r="BS35" s="2">
        <v>1200</v>
      </c>
      <c r="BV35" s="1"/>
      <c r="BW35" s="1"/>
      <c r="BX35" s="1"/>
      <c r="BY35" s="1"/>
      <c r="BZ35" s="1"/>
      <c r="CA35" s="1"/>
      <c r="CB35" s="1" t="s">
        <v>24</v>
      </c>
      <c r="CC35" s="2">
        <v>1000</v>
      </c>
      <c r="CF35" s="1"/>
      <c r="CG35" s="1"/>
      <c r="CH35" s="1"/>
      <c r="CI35" s="1"/>
      <c r="CJ35" s="1"/>
      <c r="CK35" s="1"/>
      <c r="CL35" s="1"/>
      <c r="CM35" s="2"/>
      <c r="CP35" s="1"/>
      <c r="CQ35" s="1"/>
      <c r="CR35" s="1"/>
      <c r="CS35" s="1"/>
      <c r="CT35" s="1"/>
      <c r="CU35" s="1"/>
      <c r="CV35" s="1"/>
      <c r="CW35" s="2"/>
      <c r="CZ35" s="1"/>
      <c r="DA35" s="1"/>
      <c r="DB35" s="1"/>
      <c r="DC35" s="1"/>
      <c r="DD35" s="1"/>
      <c r="DE35" s="1"/>
      <c r="DF35" s="1"/>
      <c r="DG35" s="2"/>
    </row>
    <row r="36" spans="1:111" ht="14.65" customHeight="1" thickBot="1" x14ac:dyDescent="0.3">
      <c r="A36" s="1"/>
      <c r="B36" s="18"/>
      <c r="C36" s="18"/>
      <c r="D36" s="18"/>
      <c r="E36" s="18"/>
      <c r="F36" s="18" t="s">
        <v>25</v>
      </c>
      <c r="G36" s="18"/>
      <c r="H36" s="54">
        <f>ROUND(SUM(H19:H35),5)</f>
        <v>56763.17</v>
      </c>
      <c r="I36" s="36">
        <f t="shared" ref="I36:N36" si="15">ROUND(SUM(I19:I35),5)</f>
        <v>2667.69</v>
      </c>
      <c r="J36" s="36">
        <f t="shared" si="15"/>
        <v>17530.63</v>
      </c>
      <c r="K36" s="36">
        <f t="shared" si="15"/>
        <v>6771.57</v>
      </c>
      <c r="L36" s="109">
        <f t="shared" si="15"/>
        <v>83733.06</v>
      </c>
      <c r="M36" s="108">
        <f t="shared" si="15"/>
        <v>66800</v>
      </c>
      <c r="N36" s="109">
        <f t="shared" si="15"/>
        <v>69250</v>
      </c>
      <c r="O36" s="97">
        <f t="shared" ref="O36:P36" si="16">ROUND(SUM(O19:O35),5)</f>
        <v>81000</v>
      </c>
      <c r="P36" s="109">
        <f t="shared" si="16"/>
        <v>-14483.06</v>
      </c>
      <c r="Q36" s="109">
        <f t="shared" ref="Q36" si="17">ROUND(SUM(Q19:Q35),5)</f>
        <v>-2733.06</v>
      </c>
      <c r="R36" s="110">
        <f t="shared" ref="R36" si="18">ROUND(SUM(R19:R35),5)</f>
        <v>11750</v>
      </c>
      <c r="T36" s="32"/>
      <c r="U36" s="2"/>
      <c r="W36" s="1"/>
      <c r="X36" s="1"/>
      <c r="Y36" s="1"/>
      <c r="Z36" s="1"/>
      <c r="AA36" s="1"/>
      <c r="AB36" s="1"/>
      <c r="AC36" s="1"/>
      <c r="AD36" s="1" t="s">
        <v>148</v>
      </c>
      <c r="AE36" s="17">
        <v>343.01</v>
      </c>
      <c r="AH36" s="1"/>
      <c r="AI36" s="1"/>
      <c r="AJ36" s="1"/>
      <c r="AK36" s="1"/>
      <c r="AL36" s="1"/>
      <c r="AM36" s="1"/>
      <c r="AN36" s="1" t="s">
        <v>148</v>
      </c>
      <c r="AO36" s="17">
        <v>85.38</v>
      </c>
      <c r="AQ36" s="1"/>
      <c r="AR36" s="1"/>
      <c r="AS36" s="1"/>
      <c r="AT36" s="1"/>
      <c r="AU36" s="1"/>
      <c r="AV36" s="1"/>
      <c r="AW36" s="1"/>
      <c r="AX36" s="1" t="s">
        <v>148</v>
      </c>
      <c r="AY36" s="17">
        <v>0</v>
      </c>
      <c r="BB36" s="1"/>
      <c r="BC36" s="1"/>
      <c r="BD36" s="1"/>
      <c r="BE36" s="1"/>
      <c r="BF36" s="1"/>
      <c r="BG36" s="1"/>
      <c r="BH36" s="1" t="s">
        <v>148</v>
      </c>
      <c r="BI36" s="17">
        <v>182.13</v>
      </c>
      <c r="BK36" s="1"/>
      <c r="BL36" s="1"/>
      <c r="BM36" s="1"/>
      <c r="BN36" s="1"/>
      <c r="BO36" s="1"/>
      <c r="BP36" s="1"/>
      <c r="BQ36" s="1"/>
      <c r="BR36" s="1" t="s">
        <v>148</v>
      </c>
      <c r="BS36" s="17">
        <v>1250</v>
      </c>
      <c r="BV36" s="1"/>
      <c r="BW36" s="1"/>
      <c r="BX36" s="1"/>
      <c r="BY36" s="1"/>
      <c r="BZ36" s="1"/>
      <c r="CA36" s="1"/>
      <c r="CB36" s="1" t="s">
        <v>148</v>
      </c>
      <c r="CC36" s="17">
        <v>1050</v>
      </c>
      <c r="CF36" s="1"/>
      <c r="CG36" s="1"/>
      <c r="CH36" s="1"/>
      <c r="CI36" s="1"/>
      <c r="CJ36" s="1"/>
      <c r="CK36" s="1"/>
      <c r="CL36" s="1"/>
      <c r="CM36" s="2"/>
      <c r="CP36" s="1"/>
      <c r="CQ36" s="1"/>
      <c r="CR36" s="1"/>
      <c r="CS36" s="1"/>
      <c r="CT36" s="1"/>
      <c r="CU36" s="1"/>
      <c r="CV36" s="1"/>
      <c r="CW36" s="2"/>
      <c r="CZ36" s="1"/>
      <c r="DA36" s="1"/>
      <c r="DB36" s="1"/>
      <c r="DC36" s="1"/>
      <c r="DD36" s="1"/>
      <c r="DE36" s="1"/>
      <c r="DF36" s="1"/>
      <c r="DG36" s="2"/>
    </row>
    <row r="37" spans="1:111" ht="14.65" customHeight="1" x14ac:dyDescent="0.25">
      <c r="A37" s="1"/>
      <c r="B37" s="1"/>
      <c r="C37" s="1"/>
      <c r="D37" s="1"/>
      <c r="E37" s="1"/>
      <c r="F37" s="1" t="s">
        <v>26</v>
      </c>
      <c r="G37" s="1"/>
      <c r="H37" s="53"/>
      <c r="I37" s="35"/>
      <c r="J37" s="35"/>
      <c r="K37" s="35"/>
      <c r="L37" s="102"/>
      <c r="M37" s="101"/>
      <c r="N37" s="102"/>
      <c r="O37" s="103"/>
      <c r="P37" s="102"/>
      <c r="Q37" s="102"/>
      <c r="R37" s="103"/>
      <c r="T37" s="32"/>
      <c r="U37" s="2"/>
      <c r="W37" s="1"/>
      <c r="X37" s="1"/>
      <c r="Y37" s="1"/>
      <c r="Z37" s="1"/>
      <c r="AA37" s="1"/>
      <c r="AB37" s="1"/>
      <c r="AC37" s="1" t="s">
        <v>25</v>
      </c>
      <c r="AD37" s="1"/>
      <c r="AE37" s="2">
        <f>ROUND(SUM(AE20:AE36),5)</f>
        <v>56763.17</v>
      </c>
      <c r="AH37" s="1"/>
      <c r="AI37" s="1"/>
      <c r="AJ37" s="1"/>
      <c r="AK37" s="1"/>
      <c r="AL37" s="1"/>
      <c r="AM37" s="1" t="s">
        <v>25</v>
      </c>
      <c r="AN37" s="1"/>
      <c r="AO37" s="2">
        <f>ROUND(SUM(AO20:AO36),5)</f>
        <v>2667.69</v>
      </c>
      <c r="AQ37" s="1"/>
      <c r="AR37" s="1"/>
      <c r="AS37" s="1"/>
      <c r="AT37" s="1"/>
      <c r="AU37" s="1"/>
      <c r="AV37" s="1"/>
      <c r="AW37" s="1" t="s">
        <v>25</v>
      </c>
      <c r="AX37" s="1"/>
      <c r="AY37" s="2">
        <f>ROUND(SUM(AY20:AY36),5)</f>
        <v>13785.54</v>
      </c>
      <c r="BB37" s="1"/>
      <c r="BC37" s="1"/>
      <c r="BD37" s="1"/>
      <c r="BE37" s="1"/>
      <c r="BF37" s="1"/>
      <c r="BG37" s="1" t="s">
        <v>25</v>
      </c>
      <c r="BH37" s="1"/>
      <c r="BI37" s="2">
        <f>ROUND(SUM(BI20:BI36),5)</f>
        <v>8381.36</v>
      </c>
      <c r="BK37" s="1"/>
      <c r="BL37" s="1"/>
      <c r="BM37" s="1"/>
      <c r="BN37" s="1"/>
      <c r="BO37" s="1"/>
      <c r="BP37" s="1"/>
      <c r="BQ37" s="1" t="s">
        <v>25</v>
      </c>
      <c r="BR37" s="1"/>
      <c r="BS37" s="2">
        <f>ROUND(SUM(BS20:BS36),5)</f>
        <v>66800</v>
      </c>
      <c r="BV37" s="1"/>
      <c r="BW37" s="1"/>
      <c r="BX37" s="1"/>
      <c r="BY37" s="1"/>
      <c r="BZ37" s="1"/>
      <c r="CA37" s="1" t="s">
        <v>25</v>
      </c>
      <c r="CB37" s="1"/>
      <c r="CC37" s="2">
        <f>ROUND(SUM(CC20:CC36),5)</f>
        <v>69250</v>
      </c>
      <c r="CF37" s="1"/>
      <c r="CG37" s="1"/>
      <c r="CH37" s="1"/>
      <c r="CI37" s="1"/>
      <c r="CJ37" s="1"/>
      <c r="CK37" s="1"/>
      <c r="CL37" s="1"/>
      <c r="CM37" s="2"/>
      <c r="CP37" s="1"/>
      <c r="CQ37" s="1"/>
      <c r="CR37" s="1"/>
      <c r="CS37" s="1"/>
      <c r="CT37" s="1"/>
      <c r="CU37" s="1"/>
      <c r="CV37" s="1"/>
      <c r="CW37" s="2"/>
      <c r="CZ37" s="1"/>
      <c r="DA37" s="1"/>
      <c r="DB37" s="1"/>
      <c r="DC37" s="1"/>
      <c r="DD37" s="1"/>
      <c r="DE37" s="1"/>
      <c r="DF37" s="1"/>
      <c r="DG37" s="2"/>
    </row>
    <row r="38" spans="1:111" ht="14.65" customHeight="1" x14ac:dyDescent="0.25">
      <c r="A38" s="1"/>
      <c r="B38" s="1"/>
      <c r="C38" s="1"/>
      <c r="D38" s="1"/>
      <c r="E38" s="1"/>
      <c r="F38" s="1"/>
      <c r="G38" s="1" t="s">
        <v>27</v>
      </c>
      <c r="H38" s="137">
        <v>154884.93</v>
      </c>
      <c r="I38" s="198">
        <v>22500</v>
      </c>
      <c r="J38" s="198">
        <v>22500</v>
      </c>
      <c r="K38" s="198">
        <v>22500</v>
      </c>
      <c r="L38" s="90">
        <f>SUM(H38:K38)</f>
        <v>222384.93</v>
      </c>
      <c r="M38" s="104">
        <v>305396</v>
      </c>
      <c r="N38" s="92">
        <v>286631</v>
      </c>
      <c r="O38" s="93">
        <f>331736-O39</f>
        <v>291736</v>
      </c>
      <c r="P38" s="142">
        <f t="shared" ref="P38:P45" si="19">N38-L38</f>
        <v>64246.070000000007</v>
      </c>
      <c r="Q38" s="131">
        <f t="shared" ref="Q38:Q45" si="20">O38-L38</f>
        <v>69351.070000000007</v>
      </c>
      <c r="R38" s="132">
        <f t="shared" ref="R38:R45" si="21">O38-N38</f>
        <v>5105</v>
      </c>
      <c r="T38" s="32"/>
      <c r="U38" s="2"/>
      <c r="W38" s="1"/>
      <c r="X38" s="1"/>
      <c r="Y38" s="1"/>
      <c r="Z38" s="1"/>
      <c r="AA38" s="1"/>
      <c r="AB38" s="1"/>
      <c r="AC38" s="1" t="s">
        <v>26</v>
      </c>
      <c r="AD38" s="1"/>
      <c r="AE38" s="2"/>
      <c r="AH38" s="1"/>
      <c r="AI38" s="1"/>
      <c r="AJ38" s="1"/>
      <c r="AK38" s="1"/>
      <c r="AL38" s="1"/>
      <c r="AM38" s="1" t="s">
        <v>26</v>
      </c>
      <c r="AN38" s="1"/>
      <c r="AO38" s="2"/>
      <c r="AQ38" s="1"/>
      <c r="AR38" s="1"/>
      <c r="AS38" s="1"/>
      <c r="AT38" s="1"/>
      <c r="AU38" s="1"/>
      <c r="AV38" s="1"/>
      <c r="AW38" s="1" t="s">
        <v>26</v>
      </c>
      <c r="AX38" s="1"/>
      <c r="AY38" s="2"/>
      <c r="BB38" s="1"/>
      <c r="BC38" s="1"/>
      <c r="BD38" s="1"/>
      <c r="BE38" s="1"/>
      <c r="BF38" s="1"/>
      <c r="BG38" s="1" t="s">
        <v>26</v>
      </c>
      <c r="BH38" s="1"/>
      <c r="BI38" s="2"/>
      <c r="BK38" s="1"/>
      <c r="BL38" s="1"/>
      <c r="BM38" s="1"/>
      <c r="BN38" s="1"/>
      <c r="BO38" s="1"/>
      <c r="BP38" s="1"/>
      <c r="BQ38" s="1" t="s">
        <v>26</v>
      </c>
      <c r="BR38" s="1"/>
      <c r="BS38" s="2"/>
      <c r="BV38" s="1"/>
      <c r="BW38" s="1"/>
      <c r="BX38" s="1"/>
      <c r="BY38" s="1"/>
      <c r="BZ38" s="1"/>
      <c r="CA38" s="1" t="s">
        <v>26</v>
      </c>
      <c r="CB38" s="1"/>
      <c r="CC38" s="2"/>
      <c r="CF38" s="1"/>
      <c r="CG38" s="1"/>
      <c r="CH38" s="1"/>
      <c r="CI38" s="1"/>
      <c r="CJ38" s="1"/>
      <c r="CK38" s="1"/>
      <c r="CL38" s="1"/>
      <c r="CM38" s="2"/>
      <c r="CP38" s="1"/>
      <c r="CQ38" s="1"/>
      <c r="CR38" s="1"/>
      <c r="CS38" s="1"/>
      <c r="CT38" s="1"/>
      <c r="CU38" s="1"/>
      <c r="CV38" s="1"/>
      <c r="CW38" s="2"/>
      <c r="CZ38" s="1"/>
      <c r="DA38" s="1"/>
      <c r="DB38" s="1"/>
      <c r="DC38" s="1"/>
      <c r="DD38" s="1"/>
      <c r="DE38" s="1"/>
      <c r="DF38" s="1"/>
      <c r="DG38" s="2"/>
    </row>
    <row r="39" spans="1:111" ht="14.65" customHeight="1" x14ac:dyDescent="0.25">
      <c r="A39" s="1"/>
      <c r="B39" s="1"/>
      <c r="C39" s="1"/>
      <c r="D39" s="1"/>
      <c r="E39" s="1"/>
      <c r="F39" s="1"/>
      <c r="G39" s="1" t="s">
        <v>28</v>
      </c>
      <c r="H39" s="137">
        <v>15483.33</v>
      </c>
      <c r="I39" s="198">
        <v>3500</v>
      </c>
      <c r="J39" s="198">
        <v>3500</v>
      </c>
      <c r="K39" s="198">
        <v>3500</v>
      </c>
      <c r="L39" s="90">
        <f t="shared" ref="L39:L45" si="22">SUM(H39:K39)</f>
        <v>25983.33</v>
      </c>
      <c r="M39" s="104">
        <v>60000</v>
      </c>
      <c r="N39" s="92">
        <v>55000</v>
      </c>
      <c r="O39" s="93">
        <v>40000</v>
      </c>
      <c r="P39" s="142">
        <f t="shared" si="19"/>
        <v>29016.67</v>
      </c>
      <c r="Q39" s="131">
        <f t="shared" si="20"/>
        <v>14016.669999999998</v>
      </c>
      <c r="R39" s="132">
        <f t="shared" si="21"/>
        <v>-15000</v>
      </c>
      <c r="T39" s="32"/>
      <c r="U39" s="2"/>
      <c r="W39" s="1"/>
      <c r="X39" s="1"/>
      <c r="Y39" s="1"/>
      <c r="Z39" s="1"/>
      <c r="AA39" s="1"/>
      <c r="AB39" s="1"/>
      <c r="AC39" s="1"/>
      <c r="AD39" s="1" t="s">
        <v>27</v>
      </c>
      <c r="AE39" s="2">
        <v>154884.93</v>
      </c>
      <c r="AH39" s="1"/>
      <c r="AI39" s="1"/>
      <c r="AJ39" s="1"/>
      <c r="AK39" s="1"/>
      <c r="AL39" s="1"/>
      <c r="AM39" s="1"/>
      <c r="AN39" s="1" t="s">
        <v>27</v>
      </c>
      <c r="AO39" s="2">
        <v>22625.62</v>
      </c>
      <c r="AQ39" s="1"/>
      <c r="AR39" s="1"/>
      <c r="AS39" s="1"/>
      <c r="AT39" s="1"/>
      <c r="AU39" s="1"/>
      <c r="AV39" s="1"/>
      <c r="AW39" s="1"/>
      <c r="AX39" s="1" t="s">
        <v>27</v>
      </c>
      <c r="AY39" s="2">
        <v>24725.21</v>
      </c>
      <c r="BB39" s="1"/>
      <c r="BC39" s="1"/>
      <c r="BD39" s="1"/>
      <c r="BE39" s="1"/>
      <c r="BF39" s="1"/>
      <c r="BG39" s="1"/>
      <c r="BH39" s="1" t="s">
        <v>27</v>
      </c>
      <c r="BI39" s="2">
        <v>14923.63</v>
      </c>
      <c r="BK39" s="1"/>
      <c r="BL39" s="1"/>
      <c r="BM39" s="1"/>
      <c r="BN39" s="1"/>
      <c r="BO39" s="1"/>
      <c r="BP39" s="1"/>
      <c r="BQ39" s="1"/>
      <c r="BR39" s="1" t="s">
        <v>27</v>
      </c>
      <c r="BS39" s="2">
        <v>305396</v>
      </c>
      <c r="BV39" s="1"/>
      <c r="BW39" s="1"/>
      <c r="BX39" s="1"/>
      <c r="BY39" s="1"/>
      <c r="BZ39" s="1"/>
      <c r="CA39" s="1"/>
      <c r="CB39" s="1" t="s">
        <v>27</v>
      </c>
      <c r="CC39" s="2">
        <v>286631</v>
      </c>
      <c r="CF39" s="1"/>
      <c r="CG39" s="1"/>
      <c r="CH39" s="1"/>
      <c r="CI39" s="1"/>
      <c r="CJ39" s="1"/>
      <c r="CK39" s="1"/>
      <c r="CL39" s="1"/>
      <c r="CM39" s="2"/>
      <c r="CP39" s="1"/>
      <c r="CQ39" s="1"/>
      <c r="CR39" s="1"/>
      <c r="CS39" s="1"/>
      <c r="CT39" s="1"/>
      <c r="CU39" s="1"/>
      <c r="CV39" s="1"/>
      <c r="CW39" s="2"/>
      <c r="CZ39" s="1"/>
      <c r="DA39" s="1"/>
      <c r="DB39" s="1"/>
      <c r="DC39" s="1"/>
      <c r="DD39" s="1"/>
      <c r="DE39" s="1"/>
      <c r="DF39" s="1"/>
      <c r="DG39" s="2"/>
    </row>
    <row r="40" spans="1:111" ht="14.65" customHeight="1" x14ac:dyDescent="0.25">
      <c r="A40" s="1"/>
      <c r="B40" s="1"/>
      <c r="C40" s="1"/>
      <c r="D40" s="1"/>
      <c r="E40" s="1"/>
      <c r="F40" s="1"/>
      <c r="G40" s="1" t="s">
        <v>29</v>
      </c>
      <c r="H40" s="137">
        <v>96.98</v>
      </c>
      <c r="I40" s="198">
        <v>0</v>
      </c>
      <c r="J40" s="198">
        <v>0</v>
      </c>
      <c r="K40" s="198">
        <v>0</v>
      </c>
      <c r="L40" s="90">
        <f t="shared" si="22"/>
        <v>96.98</v>
      </c>
      <c r="M40" s="104">
        <v>1800</v>
      </c>
      <c r="N40" s="92">
        <v>1200</v>
      </c>
      <c r="O40" s="93">
        <v>1200</v>
      </c>
      <c r="P40" s="142">
        <f t="shared" si="19"/>
        <v>1103.02</v>
      </c>
      <c r="Q40" s="131">
        <f t="shared" si="20"/>
        <v>1103.02</v>
      </c>
      <c r="R40" s="132">
        <f t="shared" si="21"/>
        <v>0</v>
      </c>
      <c r="T40" s="32"/>
      <c r="U40" s="2"/>
      <c r="W40" s="1"/>
      <c r="X40" s="1"/>
      <c r="Y40" s="1"/>
      <c r="Z40" s="1"/>
      <c r="AA40" s="1"/>
      <c r="AB40" s="1"/>
      <c r="AC40" s="1"/>
      <c r="AD40" s="1" t="s">
        <v>120</v>
      </c>
      <c r="AE40" s="2">
        <v>0</v>
      </c>
      <c r="AH40" s="1"/>
      <c r="AI40" s="1"/>
      <c r="AJ40" s="1"/>
      <c r="AK40" s="1"/>
      <c r="AL40" s="1"/>
      <c r="AM40" s="1"/>
      <c r="AN40" s="1" t="s">
        <v>120</v>
      </c>
      <c r="AO40" s="2">
        <v>0</v>
      </c>
      <c r="AQ40" s="1"/>
      <c r="AR40" s="1"/>
      <c r="AS40" s="1"/>
      <c r="AT40" s="1"/>
      <c r="AU40" s="1"/>
      <c r="AV40" s="1"/>
      <c r="AW40" s="1"/>
      <c r="AX40" s="1" t="s">
        <v>120</v>
      </c>
      <c r="AY40" s="2">
        <v>0</v>
      </c>
      <c r="BB40" s="1"/>
      <c r="BC40" s="1"/>
      <c r="BD40" s="1"/>
      <c r="BE40" s="1"/>
      <c r="BF40" s="1"/>
      <c r="BG40" s="1"/>
      <c r="BH40" s="1" t="s">
        <v>120</v>
      </c>
      <c r="BI40" s="2">
        <v>0</v>
      </c>
      <c r="BK40" s="1"/>
      <c r="BL40" s="1"/>
      <c r="BM40" s="1"/>
      <c r="BN40" s="1"/>
      <c r="BO40" s="1"/>
      <c r="BP40" s="1"/>
      <c r="BQ40" s="1"/>
      <c r="BR40" s="1" t="s">
        <v>120</v>
      </c>
      <c r="BS40" s="2"/>
      <c r="BV40" s="1"/>
      <c r="BW40" s="1"/>
      <c r="BX40" s="1"/>
      <c r="BY40" s="1"/>
      <c r="BZ40" s="1"/>
      <c r="CA40" s="1"/>
      <c r="CB40" s="1" t="s">
        <v>120</v>
      </c>
      <c r="CC40" s="2"/>
      <c r="CF40" s="1"/>
      <c r="CG40" s="1"/>
      <c r="CH40" s="1"/>
      <c r="CI40" s="1"/>
      <c r="CJ40" s="1"/>
      <c r="CK40" s="1"/>
      <c r="CL40" s="1"/>
      <c r="CM40" s="2"/>
      <c r="CP40" s="1"/>
      <c r="CQ40" s="1"/>
      <c r="CR40" s="1"/>
      <c r="CS40" s="1"/>
      <c r="CT40" s="1"/>
      <c r="CU40" s="1"/>
      <c r="CV40" s="1"/>
      <c r="CW40" s="2"/>
      <c r="CZ40" s="1"/>
      <c r="DA40" s="1"/>
      <c r="DB40" s="1"/>
      <c r="DC40" s="1"/>
      <c r="DD40" s="1"/>
      <c r="DE40" s="1"/>
      <c r="DF40" s="1"/>
      <c r="DG40" s="2"/>
    </row>
    <row r="41" spans="1:111" ht="14.65" customHeight="1" x14ac:dyDescent="0.25">
      <c r="A41" s="1"/>
      <c r="B41" s="1"/>
      <c r="C41" s="1"/>
      <c r="D41" s="1"/>
      <c r="E41" s="1"/>
      <c r="F41" s="1"/>
      <c r="G41" s="1" t="s">
        <v>30</v>
      </c>
      <c r="H41" s="137">
        <v>856.4</v>
      </c>
      <c r="I41" s="198">
        <v>0</v>
      </c>
      <c r="J41" s="198">
        <v>0</v>
      </c>
      <c r="K41" s="198">
        <v>244.57</v>
      </c>
      <c r="L41" s="90">
        <f t="shared" si="22"/>
        <v>1100.97</v>
      </c>
      <c r="M41" s="104">
        <v>5650</v>
      </c>
      <c r="N41" s="92">
        <v>5000</v>
      </c>
      <c r="O41" s="93">
        <v>5000</v>
      </c>
      <c r="P41" s="142">
        <f t="shared" si="19"/>
        <v>3899.0299999999997</v>
      </c>
      <c r="Q41" s="131">
        <f t="shared" si="20"/>
        <v>3899.0299999999997</v>
      </c>
      <c r="R41" s="132">
        <f t="shared" si="21"/>
        <v>0</v>
      </c>
      <c r="T41" s="32"/>
      <c r="U41" s="2"/>
      <c r="W41" s="1"/>
      <c r="X41" s="1"/>
      <c r="Y41" s="1"/>
      <c r="Z41" s="1"/>
      <c r="AA41" s="1"/>
      <c r="AB41" s="1"/>
      <c r="AC41" s="1"/>
      <c r="AD41" s="1" t="s">
        <v>28</v>
      </c>
      <c r="AE41" s="2">
        <v>15483.33</v>
      </c>
      <c r="AH41" s="1"/>
      <c r="AI41" s="1"/>
      <c r="AJ41" s="1"/>
      <c r="AK41" s="1"/>
      <c r="AL41" s="1"/>
      <c r="AM41" s="1"/>
      <c r="AN41" s="1" t="s">
        <v>28</v>
      </c>
      <c r="AO41" s="2">
        <v>2500</v>
      </c>
      <c r="AQ41" s="1"/>
      <c r="AR41" s="1"/>
      <c r="AS41" s="1"/>
      <c r="AT41" s="1"/>
      <c r="AU41" s="1"/>
      <c r="AV41" s="1"/>
      <c r="AW41" s="1"/>
      <c r="AX41" s="1" t="s">
        <v>28</v>
      </c>
      <c r="AY41" s="2">
        <v>2500</v>
      </c>
      <c r="BB41" s="1"/>
      <c r="BC41" s="1"/>
      <c r="BD41" s="1"/>
      <c r="BE41" s="1"/>
      <c r="BF41" s="1"/>
      <c r="BG41" s="1"/>
      <c r="BH41" s="1" t="s">
        <v>28</v>
      </c>
      <c r="BI41" s="2">
        <v>1166.6600000000001</v>
      </c>
      <c r="BK41" s="1"/>
      <c r="BL41" s="1"/>
      <c r="BM41" s="1"/>
      <c r="BN41" s="1"/>
      <c r="BO41" s="1"/>
      <c r="BP41" s="1"/>
      <c r="BQ41" s="1"/>
      <c r="BR41" s="1" t="s">
        <v>28</v>
      </c>
      <c r="BS41" s="2">
        <v>60000</v>
      </c>
      <c r="BV41" s="1"/>
      <c r="BW41" s="1"/>
      <c r="BX41" s="1"/>
      <c r="BY41" s="1"/>
      <c r="BZ41" s="1"/>
      <c r="CA41" s="1"/>
      <c r="CB41" s="1" t="s">
        <v>28</v>
      </c>
      <c r="CC41" s="2">
        <v>55000</v>
      </c>
      <c r="CF41" s="1"/>
      <c r="CG41" s="1"/>
      <c r="CH41" s="1"/>
      <c r="CI41" s="1"/>
      <c r="CJ41" s="1"/>
      <c r="CK41" s="1"/>
      <c r="CL41" s="1"/>
      <c r="CM41" s="2"/>
      <c r="CP41" s="1"/>
      <c r="CQ41" s="1"/>
      <c r="CR41" s="1"/>
      <c r="CS41" s="1"/>
      <c r="CT41" s="1"/>
      <c r="CU41" s="1"/>
      <c r="CV41" s="1"/>
      <c r="CW41" s="2"/>
      <c r="CZ41" s="1"/>
      <c r="DA41" s="1"/>
      <c r="DB41" s="1"/>
      <c r="DC41" s="1"/>
      <c r="DD41" s="1"/>
      <c r="DE41" s="1"/>
      <c r="DF41" s="1"/>
      <c r="DG41" s="2"/>
    </row>
    <row r="42" spans="1:111" ht="14.65" customHeight="1" x14ac:dyDescent="0.25">
      <c r="A42" s="1"/>
      <c r="B42" s="1"/>
      <c r="C42" s="1"/>
      <c r="D42" s="1"/>
      <c r="E42" s="1"/>
      <c r="F42" s="1"/>
      <c r="G42" s="1" t="s">
        <v>31</v>
      </c>
      <c r="H42" s="137">
        <v>-117.75</v>
      </c>
      <c r="I42" s="198">
        <v>0</v>
      </c>
      <c r="J42" s="198">
        <v>0</v>
      </c>
      <c r="K42" s="198">
        <v>0</v>
      </c>
      <c r="L42" s="90">
        <f t="shared" si="22"/>
        <v>-117.75</v>
      </c>
      <c r="M42" s="104">
        <v>5000</v>
      </c>
      <c r="N42" s="92">
        <v>5000</v>
      </c>
      <c r="O42" s="93">
        <v>5000</v>
      </c>
      <c r="P42" s="142">
        <f t="shared" si="19"/>
        <v>5117.75</v>
      </c>
      <c r="Q42" s="131">
        <f t="shared" si="20"/>
        <v>5117.75</v>
      </c>
      <c r="R42" s="132">
        <f t="shared" si="21"/>
        <v>0</v>
      </c>
      <c r="T42" s="32"/>
      <c r="U42" s="2"/>
      <c r="W42" s="1"/>
      <c r="X42" s="1"/>
      <c r="Y42" s="1"/>
      <c r="Z42" s="1"/>
      <c r="AA42" s="1"/>
      <c r="AB42" s="1"/>
      <c r="AC42" s="1"/>
      <c r="AD42" s="1" t="s">
        <v>29</v>
      </c>
      <c r="AE42" s="2">
        <v>96.98</v>
      </c>
      <c r="AH42" s="1"/>
      <c r="AI42" s="1"/>
      <c r="AJ42" s="1"/>
      <c r="AK42" s="1"/>
      <c r="AL42" s="1"/>
      <c r="AM42" s="1"/>
      <c r="AN42" s="1" t="s">
        <v>29</v>
      </c>
      <c r="AO42" s="2">
        <v>0</v>
      </c>
      <c r="AQ42" s="1"/>
      <c r="AR42" s="1"/>
      <c r="AS42" s="1"/>
      <c r="AT42" s="1"/>
      <c r="AU42" s="1"/>
      <c r="AV42" s="1"/>
      <c r="AW42" s="1"/>
      <c r="AX42" s="1" t="s">
        <v>29</v>
      </c>
      <c r="AY42" s="2">
        <v>0</v>
      </c>
      <c r="BB42" s="1"/>
      <c r="BC42" s="1"/>
      <c r="BD42" s="1"/>
      <c r="BE42" s="1"/>
      <c r="BF42" s="1"/>
      <c r="BG42" s="1"/>
      <c r="BH42" s="1" t="s">
        <v>29</v>
      </c>
      <c r="BI42" s="2">
        <v>0</v>
      </c>
      <c r="BK42" s="1"/>
      <c r="BL42" s="1"/>
      <c r="BM42" s="1"/>
      <c r="BN42" s="1"/>
      <c r="BO42" s="1"/>
      <c r="BP42" s="1"/>
      <c r="BQ42" s="1"/>
      <c r="BR42" s="1" t="s">
        <v>29</v>
      </c>
      <c r="BS42" s="2">
        <v>1800</v>
      </c>
      <c r="BV42" s="1"/>
      <c r="BW42" s="1"/>
      <c r="BX42" s="1"/>
      <c r="BY42" s="1"/>
      <c r="BZ42" s="1"/>
      <c r="CA42" s="1"/>
      <c r="CB42" s="1" t="s">
        <v>29</v>
      </c>
      <c r="CC42" s="2">
        <v>1200</v>
      </c>
      <c r="CF42" s="1"/>
      <c r="CG42" s="1"/>
      <c r="CH42" s="1"/>
      <c r="CI42" s="1"/>
      <c r="CJ42" s="1"/>
      <c r="CK42" s="1"/>
      <c r="CL42" s="1"/>
      <c r="CM42" s="2"/>
      <c r="CP42" s="1"/>
      <c r="CQ42" s="1"/>
      <c r="CR42" s="1"/>
      <c r="CS42" s="1"/>
      <c r="CT42" s="1"/>
      <c r="CU42" s="1"/>
      <c r="CV42" s="1"/>
      <c r="CW42" s="2"/>
      <c r="CZ42" s="1"/>
      <c r="DA42" s="1"/>
      <c r="DB42" s="1"/>
      <c r="DC42" s="1"/>
      <c r="DD42" s="1"/>
      <c r="DE42" s="1"/>
      <c r="DF42" s="1"/>
      <c r="DG42" s="2"/>
    </row>
    <row r="43" spans="1:111" ht="14.65" customHeight="1" x14ac:dyDescent="0.25">
      <c r="A43" s="1"/>
      <c r="B43" s="1"/>
      <c r="C43" s="1"/>
      <c r="D43" s="1"/>
      <c r="E43" s="1"/>
      <c r="F43" s="1"/>
      <c r="G43" s="1" t="s">
        <v>32</v>
      </c>
      <c r="H43" s="137">
        <v>16764.98</v>
      </c>
      <c r="I43" s="198">
        <v>1809.38</v>
      </c>
      <c r="J43" s="198">
        <v>1598.78</v>
      </c>
      <c r="K43" s="198">
        <v>1194.6099999999999</v>
      </c>
      <c r="L43" s="90">
        <f t="shared" si="22"/>
        <v>21367.75</v>
      </c>
      <c r="M43" s="104">
        <v>35735</v>
      </c>
      <c r="N43" s="92">
        <v>37715</v>
      </c>
      <c r="O43" s="93">
        <f>29779+1560+1056</f>
        <v>32395</v>
      </c>
      <c r="P43" s="142">
        <f t="shared" si="19"/>
        <v>16347.25</v>
      </c>
      <c r="Q43" s="131">
        <f t="shared" si="20"/>
        <v>11027.25</v>
      </c>
      <c r="R43" s="132">
        <f t="shared" si="21"/>
        <v>-5320</v>
      </c>
      <c r="T43" s="32"/>
      <c r="U43" s="2"/>
      <c r="W43" s="1"/>
      <c r="X43" s="1"/>
      <c r="Y43" s="1"/>
      <c r="Z43" s="1"/>
      <c r="AA43" s="1"/>
      <c r="AB43" s="1"/>
      <c r="AC43" s="1"/>
      <c r="AD43" s="1" t="s">
        <v>30</v>
      </c>
      <c r="AE43" s="2">
        <v>856.4</v>
      </c>
      <c r="AH43" s="1"/>
      <c r="AI43" s="1"/>
      <c r="AJ43" s="1"/>
      <c r="AK43" s="1"/>
      <c r="AL43" s="1"/>
      <c r="AM43" s="1"/>
      <c r="AN43" s="1" t="s">
        <v>30</v>
      </c>
      <c r="AO43" s="2">
        <v>0</v>
      </c>
      <c r="AQ43" s="1"/>
      <c r="AR43" s="1"/>
      <c r="AS43" s="1"/>
      <c r="AT43" s="1"/>
      <c r="AU43" s="1"/>
      <c r="AV43" s="1"/>
      <c r="AW43" s="1"/>
      <c r="AX43" s="1" t="s">
        <v>30</v>
      </c>
      <c r="AY43" s="2">
        <v>0</v>
      </c>
      <c r="BB43" s="1"/>
      <c r="BC43" s="1"/>
      <c r="BD43" s="1"/>
      <c r="BE43" s="1"/>
      <c r="BF43" s="1"/>
      <c r="BG43" s="1"/>
      <c r="BH43" s="1" t="s">
        <v>30</v>
      </c>
      <c r="BI43" s="2">
        <v>244.57</v>
      </c>
      <c r="BK43" s="1"/>
      <c r="BL43" s="1"/>
      <c r="BM43" s="1"/>
      <c r="BN43" s="1"/>
      <c r="BO43" s="1"/>
      <c r="BP43" s="1"/>
      <c r="BQ43" s="1"/>
      <c r="BR43" s="1" t="s">
        <v>30</v>
      </c>
      <c r="BS43" s="2">
        <v>5650</v>
      </c>
      <c r="BV43" s="1"/>
      <c r="BW43" s="1"/>
      <c r="BX43" s="1"/>
      <c r="BY43" s="1"/>
      <c r="BZ43" s="1"/>
      <c r="CA43" s="1"/>
      <c r="CB43" s="1" t="s">
        <v>30</v>
      </c>
      <c r="CC43" s="2">
        <v>5000</v>
      </c>
      <c r="CF43" s="1"/>
      <c r="CG43" s="1"/>
      <c r="CH43" s="1"/>
      <c r="CI43" s="1"/>
      <c r="CJ43" s="1"/>
      <c r="CK43" s="1"/>
      <c r="CL43" s="1"/>
      <c r="CM43" s="2"/>
      <c r="CP43" s="1"/>
      <c r="CQ43" s="1"/>
      <c r="CR43" s="1"/>
      <c r="CS43" s="1"/>
      <c r="CT43" s="1"/>
      <c r="CU43" s="1"/>
      <c r="CV43" s="1"/>
      <c r="CW43" s="2"/>
      <c r="CZ43" s="1"/>
      <c r="DA43" s="1"/>
      <c r="DB43" s="1"/>
      <c r="DC43" s="1"/>
      <c r="DD43" s="1"/>
      <c r="DE43" s="1"/>
      <c r="DF43" s="1"/>
      <c r="DG43" s="2"/>
    </row>
    <row r="44" spans="1:111" ht="14.65" customHeight="1" x14ac:dyDescent="0.25">
      <c r="A44" s="1"/>
      <c r="B44" s="1"/>
      <c r="C44" s="1"/>
      <c r="D44" s="1"/>
      <c r="E44" s="1"/>
      <c r="F44" s="1"/>
      <c r="G44" s="1" t="s">
        <v>33</v>
      </c>
      <c r="H44" s="137">
        <v>3050.18</v>
      </c>
      <c r="I44" s="198">
        <v>546.51</v>
      </c>
      <c r="J44" s="198">
        <v>546.51</v>
      </c>
      <c r="K44" s="198">
        <v>252.43</v>
      </c>
      <c r="L44" s="90">
        <f t="shared" si="22"/>
        <v>4395.63</v>
      </c>
      <c r="M44" s="104">
        <v>9493</v>
      </c>
      <c r="N44" s="92">
        <v>7340</v>
      </c>
      <c r="O44" s="93">
        <v>6062</v>
      </c>
      <c r="P44" s="142">
        <f t="shared" si="19"/>
        <v>2944.37</v>
      </c>
      <c r="Q44" s="131">
        <f t="shared" si="20"/>
        <v>1666.37</v>
      </c>
      <c r="R44" s="132">
        <f t="shared" si="21"/>
        <v>-1278</v>
      </c>
      <c r="T44" s="32"/>
      <c r="U44" s="2"/>
      <c r="W44" s="1"/>
      <c r="X44" s="1"/>
      <c r="Y44" s="1"/>
      <c r="Z44" s="1"/>
      <c r="AA44" s="1"/>
      <c r="AB44" s="1"/>
      <c r="AC44" s="1"/>
      <c r="AD44" s="1" t="s">
        <v>31</v>
      </c>
      <c r="AE44" s="2">
        <v>-117.75</v>
      </c>
      <c r="AH44" s="1"/>
      <c r="AI44" s="1"/>
      <c r="AJ44" s="1"/>
      <c r="AK44" s="1"/>
      <c r="AL44" s="1"/>
      <c r="AM44" s="1"/>
      <c r="AN44" s="1" t="s">
        <v>31</v>
      </c>
      <c r="AO44" s="2">
        <v>0</v>
      </c>
      <c r="AQ44" s="1"/>
      <c r="AR44" s="1"/>
      <c r="AS44" s="1"/>
      <c r="AT44" s="1"/>
      <c r="AU44" s="1"/>
      <c r="AV44" s="1"/>
      <c r="AW44" s="1"/>
      <c r="AX44" s="1" t="s">
        <v>31</v>
      </c>
      <c r="AY44" s="2">
        <v>0</v>
      </c>
      <c r="BB44" s="1"/>
      <c r="BC44" s="1"/>
      <c r="BD44" s="1"/>
      <c r="BE44" s="1"/>
      <c r="BF44" s="1"/>
      <c r="BG44" s="1"/>
      <c r="BH44" s="1" t="s">
        <v>31</v>
      </c>
      <c r="BI44" s="2">
        <v>0</v>
      </c>
      <c r="BK44" s="1"/>
      <c r="BL44" s="1"/>
      <c r="BM44" s="1"/>
      <c r="BN44" s="1"/>
      <c r="BO44" s="1"/>
      <c r="BP44" s="1"/>
      <c r="BQ44" s="1"/>
      <c r="BR44" s="1" t="s">
        <v>31</v>
      </c>
      <c r="BS44" s="2">
        <v>5000</v>
      </c>
      <c r="BV44" s="1"/>
      <c r="BW44" s="1"/>
      <c r="BX44" s="1"/>
      <c r="BY44" s="1"/>
      <c r="BZ44" s="1"/>
      <c r="CA44" s="1"/>
      <c r="CB44" s="1" t="s">
        <v>31</v>
      </c>
      <c r="CC44" s="2">
        <v>5000</v>
      </c>
      <c r="CF44" s="1"/>
      <c r="CG44" s="1"/>
      <c r="CH44" s="1"/>
      <c r="CI44" s="1"/>
      <c r="CJ44" s="1"/>
      <c r="CK44" s="1"/>
      <c r="CL44" s="1"/>
      <c r="CM44" s="2"/>
      <c r="CP44" s="1"/>
      <c r="CQ44" s="1"/>
      <c r="CR44" s="1"/>
      <c r="CS44" s="1"/>
      <c r="CT44" s="1"/>
      <c r="CU44" s="1"/>
      <c r="CV44" s="1"/>
      <c r="CW44" s="2"/>
      <c r="CZ44" s="1"/>
      <c r="DA44" s="1"/>
      <c r="DB44" s="1"/>
      <c r="DC44" s="1"/>
      <c r="DD44" s="1"/>
      <c r="DE44" s="1"/>
      <c r="DF44" s="1"/>
      <c r="DG44" s="2"/>
    </row>
    <row r="45" spans="1:111" ht="14.65" customHeight="1" thickBot="1" x14ac:dyDescent="0.3">
      <c r="A45" s="1"/>
      <c r="B45" s="69"/>
      <c r="C45" s="69"/>
      <c r="D45" s="69"/>
      <c r="E45" s="69"/>
      <c r="F45" s="69"/>
      <c r="G45" s="70" t="s">
        <v>34</v>
      </c>
      <c r="H45" s="138">
        <v>9314.09</v>
      </c>
      <c r="I45" s="200">
        <v>860.92</v>
      </c>
      <c r="J45" s="200">
        <v>1025.1199999999999</v>
      </c>
      <c r="K45" s="200">
        <v>924.73</v>
      </c>
      <c r="L45" s="94">
        <f t="shared" si="22"/>
        <v>12124.86</v>
      </c>
      <c r="M45" s="105">
        <v>9125</v>
      </c>
      <c r="N45" s="106">
        <v>12962</v>
      </c>
      <c r="O45" s="107">
        <v>15592</v>
      </c>
      <c r="P45" s="143">
        <f t="shared" si="19"/>
        <v>837.13999999999942</v>
      </c>
      <c r="Q45" s="133">
        <f t="shared" si="20"/>
        <v>3467.1399999999994</v>
      </c>
      <c r="R45" s="134">
        <f t="shared" si="21"/>
        <v>2630</v>
      </c>
      <c r="T45" s="32"/>
      <c r="U45" s="2"/>
      <c r="W45" s="1"/>
      <c r="X45" s="1"/>
      <c r="Y45" s="1"/>
      <c r="Z45" s="1"/>
      <c r="AA45" s="1"/>
      <c r="AB45" s="1"/>
      <c r="AC45" s="1"/>
      <c r="AD45" s="1" t="s">
        <v>32</v>
      </c>
      <c r="AE45" s="2">
        <v>16764.98</v>
      </c>
      <c r="AH45" s="1"/>
      <c r="AI45" s="1"/>
      <c r="AJ45" s="1"/>
      <c r="AK45" s="1"/>
      <c r="AL45" s="1"/>
      <c r="AM45" s="1"/>
      <c r="AN45" s="1" t="s">
        <v>32</v>
      </c>
      <c r="AO45" s="2">
        <v>1809.38</v>
      </c>
      <c r="AQ45" s="1"/>
      <c r="AR45" s="1"/>
      <c r="AS45" s="1"/>
      <c r="AT45" s="1"/>
      <c r="AU45" s="1"/>
      <c r="AV45" s="1"/>
      <c r="AW45" s="1"/>
      <c r="AX45" s="1" t="s">
        <v>32</v>
      </c>
      <c r="AY45" s="2">
        <v>1598.78</v>
      </c>
      <c r="BB45" s="1"/>
      <c r="BC45" s="1"/>
      <c r="BD45" s="1"/>
      <c r="BE45" s="1"/>
      <c r="BF45" s="1"/>
      <c r="BG45" s="1"/>
      <c r="BH45" s="1" t="s">
        <v>32</v>
      </c>
      <c r="BI45" s="2">
        <v>1194.6099999999999</v>
      </c>
      <c r="BK45" s="1"/>
      <c r="BL45" s="1"/>
      <c r="BM45" s="1"/>
      <c r="BN45" s="1"/>
      <c r="BO45" s="1"/>
      <c r="BP45" s="1"/>
      <c r="BQ45" s="1"/>
      <c r="BR45" s="1" t="s">
        <v>32</v>
      </c>
      <c r="BS45" s="2">
        <v>35735</v>
      </c>
      <c r="BV45" s="1"/>
      <c r="BW45" s="1"/>
      <c r="BX45" s="1"/>
      <c r="BY45" s="1"/>
      <c r="BZ45" s="1"/>
      <c r="CA45" s="1"/>
      <c r="CB45" s="1" t="s">
        <v>32</v>
      </c>
      <c r="CC45" s="2">
        <v>37715</v>
      </c>
      <c r="CF45" s="1"/>
      <c r="CG45" s="1"/>
      <c r="CH45" s="1"/>
      <c r="CI45" s="1"/>
      <c r="CJ45" s="1"/>
      <c r="CK45" s="1"/>
      <c r="CL45" s="1"/>
      <c r="CM45" s="2"/>
      <c r="CP45" s="1"/>
      <c r="CQ45" s="1"/>
      <c r="CR45" s="1"/>
      <c r="CS45" s="1"/>
      <c r="CT45" s="1"/>
      <c r="CU45" s="1"/>
      <c r="CV45" s="1"/>
      <c r="CW45" s="2"/>
      <c r="CZ45" s="1"/>
      <c r="DA45" s="1"/>
      <c r="DB45" s="1"/>
      <c r="DC45" s="1"/>
      <c r="DD45" s="1"/>
      <c r="DE45" s="1"/>
      <c r="DF45" s="1"/>
      <c r="DG45" s="2"/>
    </row>
    <row r="46" spans="1:111" ht="14.65" customHeight="1" x14ac:dyDescent="0.25">
      <c r="A46" s="1"/>
      <c r="B46" s="18"/>
      <c r="C46" s="18"/>
      <c r="D46" s="18"/>
      <c r="E46" s="18"/>
      <c r="F46" s="18" t="s">
        <v>35</v>
      </c>
      <c r="G46" s="18"/>
      <c r="H46" s="54">
        <f>ROUND(SUM(H37:H45),5)</f>
        <v>200333.14</v>
      </c>
      <c r="I46" s="36">
        <f t="shared" ref="I46:P46" si="23">ROUND(SUM(I37:I45),5)</f>
        <v>29216.81</v>
      </c>
      <c r="J46" s="36">
        <f t="shared" si="23"/>
        <v>29170.41</v>
      </c>
      <c r="K46" s="36">
        <f t="shared" si="23"/>
        <v>28616.34</v>
      </c>
      <c r="L46" s="109">
        <f t="shared" si="23"/>
        <v>287336.7</v>
      </c>
      <c r="M46" s="108">
        <f t="shared" si="23"/>
        <v>432199</v>
      </c>
      <c r="N46" s="109">
        <f t="shared" si="23"/>
        <v>410848</v>
      </c>
      <c r="O46" s="97">
        <f t="shared" si="23"/>
        <v>396985</v>
      </c>
      <c r="P46" s="109">
        <f t="shared" si="23"/>
        <v>123511.3</v>
      </c>
      <c r="Q46" s="109">
        <f t="shared" ref="Q46" si="24">ROUND(SUM(Q37:Q45),5)</f>
        <v>109648.3</v>
      </c>
      <c r="R46" s="110">
        <f t="shared" ref="R46" si="25">ROUND(SUM(R37:R45),5)</f>
        <v>-13863</v>
      </c>
      <c r="T46" s="32"/>
      <c r="U46" s="2"/>
      <c r="W46" s="1"/>
      <c r="X46" s="1"/>
      <c r="Y46" s="1"/>
      <c r="Z46" s="1"/>
      <c r="AA46" s="1"/>
      <c r="AB46" s="1"/>
      <c r="AC46" s="1"/>
      <c r="AD46" s="1" t="s">
        <v>33</v>
      </c>
      <c r="AE46" s="2">
        <v>3050.18</v>
      </c>
      <c r="AH46" s="1"/>
      <c r="AI46" s="1"/>
      <c r="AJ46" s="1"/>
      <c r="AK46" s="1"/>
      <c r="AL46" s="1"/>
      <c r="AM46" s="1"/>
      <c r="AN46" s="1" t="s">
        <v>33</v>
      </c>
      <c r="AO46" s="2">
        <v>546.51</v>
      </c>
      <c r="AQ46" s="1"/>
      <c r="AR46" s="1"/>
      <c r="AS46" s="1"/>
      <c r="AT46" s="1"/>
      <c r="AU46" s="1"/>
      <c r="AV46" s="1"/>
      <c r="AW46" s="1"/>
      <c r="AX46" s="1" t="s">
        <v>33</v>
      </c>
      <c r="AY46" s="2">
        <v>546.51</v>
      </c>
      <c r="BB46" s="1"/>
      <c r="BC46" s="1"/>
      <c r="BD46" s="1"/>
      <c r="BE46" s="1"/>
      <c r="BF46" s="1"/>
      <c r="BG46" s="1"/>
      <c r="BH46" s="1" t="s">
        <v>33</v>
      </c>
      <c r="BI46" s="2">
        <v>252.43</v>
      </c>
      <c r="BK46" s="1"/>
      <c r="BL46" s="1"/>
      <c r="BM46" s="1"/>
      <c r="BN46" s="1"/>
      <c r="BO46" s="1"/>
      <c r="BP46" s="1"/>
      <c r="BQ46" s="1"/>
      <c r="BR46" s="1" t="s">
        <v>33</v>
      </c>
      <c r="BS46" s="2">
        <v>9493</v>
      </c>
      <c r="BV46" s="1"/>
      <c r="BW46" s="1"/>
      <c r="BX46" s="1"/>
      <c r="BY46" s="1"/>
      <c r="BZ46" s="1"/>
      <c r="CA46" s="1"/>
      <c r="CB46" s="1" t="s">
        <v>33</v>
      </c>
      <c r="CC46" s="2">
        <v>7340</v>
      </c>
      <c r="CF46" s="1"/>
      <c r="CG46" s="1"/>
      <c r="CH46" s="1"/>
      <c r="CI46" s="1"/>
      <c r="CJ46" s="1"/>
      <c r="CK46" s="1"/>
      <c r="CL46" s="1"/>
      <c r="CM46" s="2"/>
      <c r="CP46" s="1"/>
      <c r="CQ46" s="1"/>
      <c r="CR46" s="1"/>
      <c r="CS46" s="1"/>
      <c r="CT46" s="1"/>
      <c r="CU46" s="1"/>
      <c r="CV46" s="1"/>
      <c r="CW46" s="2"/>
      <c r="CZ46" s="1"/>
      <c r="DA46" s="1"/>
      <c r="DB46" s="1"/>
      <c r="DC46" s="1"/>
      <c r="DD46" s="1"/>
      <c r="DE46" s="1"/>
      <c r="DF46" s="1"/>
      <c r="DG46" s="2"/>
    </row>
    <row r="47" spans="1:111" ht="14.65" customHeight="1" thickBot="1" x14ac:dyDescent="0.3">
      <c r="A47" s="1"/>
      <c r="B47" s="1"/>
      <c r="C47" s="1"/>
      <c r="D47" s="1"/>
      <c r="E47" s="1"/>
      <c r="F47" s="1" t="s">
        <v>36</v>
      </c>
      <c r="G47" s="1"/>
      <c r="H47" s="53"/>
      <c r="I47" s="35"/>
      <c r="J47" s="35"/>
      <c r="K47" s="35"/>
      <c r="L47" s="102"/>
      <c r="M47" s="101"/>
      <c r="N47" s="102"/>
      <c r="O47" s="103"/>
      <c r="P47" s="102"/>
      <c r="Q47" s="102"/>
      <c r="R47" s="103"/>
      <c r="T47" s="32"/>
      <c r="U47" s="2"/>
      <c r="W47" s="1"/>
      <c r="X47" s="1"/>
      <c r="Y47" s="1"/>
      <c r="Z47" s="1"/>
      <c r="AA47" s="1"/>
      <c r="AB47" s="1"/>
      <c r="AC47" s="1"/>
      <c r="AD47" s="1" t="s">
        <v>34</v>
      </c>
      <c r="AE47" s="17">
        <v>9314.09</v>
      </c>
      <c r="AH47" s="1"/>
      <c r="AI47" s="1"/>
      <c r="AJ47" s="1"/>
      <c r="AK47" s="1"/>
      <c r="AL47" s="1"/>
      <c r="AM47" s="1"/>
      <c r="AN47" s="1" t="s">
        <v>34</v>
      </c>
      <c r="AO47" s="17">
        <v>860.92</v>
      </c>
      <c r="AQ47" s="1"/>
      <c r="AR47" s="1"/>
      <c r="AS47" s="1"/>
      <c r="AT47" s="1"/>
      <c r="AU47" s="1"/>
      <c r="AV47" s="1"/>
      <c r="AW47" s="1"/>
      <c r="AX47" s="1" t="s">
        <v>34</v>
      </c>
      <c r="AY47" s="17">
        <v>1025.1199999999999</v>
      </c>
      <c r="BB47" s="1"/>
      <c r="BC47" s="1"/>
      <c r="BD47" s="1"/>
      <c r="BE47" s="1"/>
      <c r="BF47" s="1"/>
      <c r="BG47" s="1"/>
      <c r="BH47" s="1" t="s">
        <v>34</v>
      </c>
      <c r="BI47" s="17">
        <v>924.73</v>
      </c>
      <c r="BK47" s="1"/>
      <c r="BL47" s="1"/>
      <c r="BM47" s="1"/>
      <c r="BN47" s="1"/>
      <c r="BO47" s="1"/>
      <c r="BP47" s="1"/>
      <c r="BQ47" s="1"/>
      <c r="BR47" s="1" t="s">
        <v>34</v>
      </c>
      <c r="BS47" s="17">
        <v>9125</v>
      </c>
      <c r="BV47" s="1"/>
      <c r="BW47" s="1"/>
      <c r="BX47" s="1"/>
      <c r="BY47" s="1"/>
      <c r="BZ47" s="1"/>
      <c r="CA47" s="1"/>
      <c r="CB47" s="1" t="s">
        <v>34</v>
      </c>
      <c r="CC47" s="17">
        <v>12962</v>
      </c>
      <c r="CF47" s="1"/>
      <c r="CG47" s="1"/>
      <c r="CH47" s="1"/>
      <c r="CI47" s="1"/>
      <c r="CJ47" s="1"/>
      <c r="CK47" s="1"/>
      <c r="CL47" s="1"/>
      <c r="CM47" s="2"/>
      <c r="CP47" s="1"/>
      <c r="CQ47" s="1"/>
      <c r="CR47" s="1"/>
      <c r="CS47" s="1"/>
      <c r="CT47" s="1"/>
      <c r="CU47" s="1"/>
      <c r="CV47" s="1"/>
      <c r="CW47" s="2"/>
      <c r="CZ47" s="1"/>
      <c r="DA47" s="1"/>
      <c r="DB47" s="1"/>
      <c r="DC47" s="1"/>
      <c r="DD47" s="1"/>
      <c r="DE47" s="1"/>
      <c r="DF47" s="1"/>
      <c r="DG47" s="2"/>
    </row>
    <row r="48" spans="1:111" ht="14.65" customHeight="1" x14ac:dyDescent="0.25">
      <c r="A48" s="1"/>
      <c r="B48" s="1"/>
      <c r="C48" s="1"/>
      <c r="D48" s="1"/>
      <c r="E48" s="1"/>
      <c r="F48" s="1"/>
      <c r="G48" s="1" t="s">
        <v>37</v>
      </c>
      <c r="H48" s="137">
        <v>1340</v>
      </c>
      <c r="I48" s="198">
        <v>0</v>
      </c>
      <c r="J48" s="198">
        <v>0</v>
      </c>
      <c r="K48" s="198">
        <v>2200</v>
      </c>
      <c r="L48" s="90">
        <f>SUM(H48:K48)</f>
        <v>3540</v>
      </c>
      <c r="M48" s="104">
        <v>3200</v>
      </c>
      <c r="N48" s="92">
        <v>3500</v>
      </c>
      <c r="O48" s="93">
        <v>3500</v>
      </c>
      <c r="P48" s="142">
        <f t="shared" ref="P48:P50" si="26">N48-L48</f>
        <v>-40</v>
      </c>
      <c r="Q48" s="131">
        <f>O48-L48</f>
        <v>-40</v>
      </c>
      <c r="R48" s="132">
        <f>O48-N48</f>
        <v>0</v>
      </c>
      <c r="T48" s="81"/>
      <c r="U48" s="2"/>
      <c r="W48" s="1"/>
      <c r="X48" s="1"/>
      <c r="Y48" s="1"/>
      <c r="Z48" s="1"/>
      <c r="AA48" s="1"/>
      <c r="AB48" s="1"/>
      <c r="AC48" s="1" t="s">
        <v>35</v>
      </c>
      <c r="AD48" s="1"/>
      <c r="AE48" s="2">
        <f>ROUND(SUM(AE38:AE47),5)</f>
        <v>200333.14</v>
      </c>
      <c r="AH48" s="1"/>
      <c r="AI48" s="1"/>
      <c r="AJ48" s="1"/>
      <c r="AK48" s="1"/>
      <c r="AL48" s="1"/>
      <c r="AM48" s="1" t="s">
        <v>35</v>
      </c>
      <c r="AN48" s="1"/>
      <c r="AO48" s="2">
        <f>ROUND(SUM(AO38:AO47),5)</f>
        <v>28342.43</v>
      </c>
      <c r="AQ48" s="1"/>
      <c r="AR48" s="1"/>
      <c r="AS48" s="1"/>
      <c r="AT48" s="1"/>
      <c r="AU48" s="1"/>
      <c r="AV48" s="1"/>
      <c r="AW48" s="1" t="s">
        <v>35</v>
      </c>
      <c r="AX48" s="1"/>
      <c r="AY48" s="2">
        <f>ROUND(SUM(AY38:AY47),5)</f>
        <v>30395.62</v>
      </c>
      <c r="BB48" s="1"/>
      <c r="BC48" s="1"/>
      <c r="BD48" s="1"/>
      <c r="BE48" s="1"/>
      <c r="BF48" s="1"/>
      <c r="BG48" s="1" t="s">
        <v>35</v>
      </c>
      <c r="BH48" s="1"/>
      <c r="BI48" s="2">
        <f>ROUND(SUM(BI38:BI47),5)</f>
        <v>18706.63</v>
      </c>
      <c r="BK48" s="1"/>
      <c r="BL48" s="1"/>
      <c r="BM48" s="1"/>
      <c r="BN48" s="1"/>
      <c r="BO48" s="1"/>
      <c r="BP48" s="1"/>
      <c r="BQ48" s="1" t="s">
        <v>35</v>
      </c>
      <c r="BR48" s="1"/>
      <c r="BS48" s="2">
        <f>ROUND(SUM(BS38:BS47),5)</f>
        <v>432199</v>
      </c>
      <c r="BV48" s="1"/>
      <c r="BW48" s="1"/>
      <c r="BX48" s="1"/>
      <c r="BY48" s="1"/>
      <c r="BZ48" s="1"/>
      <c r="CA48" s="1" t="s">
        <v>35</v>
      </c>
      <c r="CB48" s="1"/>
      <c r="CC48" s="2">
        <f>ROUND(SUM(CC38:CC47),5)</f>
        <v>410848</v>
      </c>
      <c r="CF48" s="1"/>
      <c r="CG48" s="1"/>
      <c r="CH48" s="1"/>
      <c r="CI48" s="1"/>
      <c r="CJ48" s="1"/>
      <c r="CK48" s="1"/>
      <c r="CL48" s="1"/>
      <c r="CM48" s="2"/>
      <c r="CP48" s="1"/>
      <c r="CQ48" s="1"/>
      <c r="CR48" s="1"/>
      <c r="CS48" s="1"/>
      <c r="CT48" s="1"/>
      <c r="CU48" s="1"/>
      <c r="CV48" s="1"/>
      <c r="CW48" s="2"/>
      <c r="CZ48" s="1"/>
      <c r="DA48" s="1"/>
      <c r="DB48" s="1"/>
      <c r="DC48" s="1"/>
      <c r="DD48" s="1"/>
      <c r="DE48" s="1"/>
      <c r="DF48" s="1"/>
      <c r="DG48" s="2"/>
    </row>
    <row r="49" spans="1:111" ht="14.65" customHeight="1" x14ac:dyDescent="0.25">
      <c r="A49" s="1"/>
      <c r="B49" s="1"/>
      <c r="C49" s="1"/>
      <c r="D49" s="1"/>
      <c r="E49" s="1"/>
      <c r="F49" s="1"/>
      <c r="G49" s="1" t="s">
        <v>38</v>
      </c>
      <c r="H49" s="137">
        <v>1543.56</v>
      </c>
      <c r="I49" s="198">
        <v>252.98</v>
      </c>
      <c r="J49" s="198">
        <v>75.430000000000007</v>
      </c>
      <c r="K49" s="198">
        <v>62.69</v>
      </c>
      <c r="L49" s="90">
        <f t="shared" ref="L49:L50" si="27">SUM(H49:K49)</f>
        <v>1934.66</v>
      </c>
      <c r="M49" s="104">
        <v>900</v>
      </c>
      <c r="N49" s="92">
        <v>2000</v>
      </c>
      <c r="O49" s="93">
        <v>2000</v>
      </c>
      <c r="P49" s="142">
        <f t="shared" si="26"/>
        <v>65.339999999999918</v>
      </c>
      <c r="Q49" s="131">
        <f>O49-L49</f>
        <v>65.339999999999918</v>
      </c>
      <c r="R49" s="132">
        <f>O49-N49</f>
        <v>0</v>
      </c>
      <c r="T49" s="81"/>
      <c r="U49" s="2"/>
      <c r="W49" s="1"/>
      <c r="X49" s="1"/>
      <c r="Y49" s="1"/>
      <c r="Z49" s="1"/>
      <c r="AA49" s="1"/>
      <c r="AB49" s="1"/>
      <c r="AC49" s="1" t="s">
        <v>36</v>
      </c>
      <c r="AD49" s="1"/>
      <c r="AE49" s="2"/>
      <c r="AH49" s="1"/>
      <c r="AI49" s="1"/>
      <c r="AJ49" s="1"/>
      <c r="AK49" s="1"/>
      <c r="AL49" s="1"/>
      <c r="AM49" s="1" t="s">
        <v>36</v>
      </c>
      <c r="AN49" s="1"/>
      <c r="AO49" s="2"/>
      <c r="AQ49" s="1"/>
      <c r="AR49" s="1"/>
      <c r="AS49" s="1"/>
      <c r="AT49" s="1"/>
      <c r="AU49" s="1"/>
      <c r="AV49" s="1"/>
      <c r="AW49" s="1" t="s">
        <v>36</v>
      </c>
      <c r="AX49" s="1"/>
      <c r="AY49" s="2"/>
      <c r="BB49" s="1"/>
      <c r="BC49" s="1"/>
      <c r="BD49" s="1"/>
      <c r="BE49" s="1"/>
      <c r="BF49" s="1"/>
      <c r="BG49" s="1" t="s">
        <v>36</v>
      </c>
      <c r="BH49" s="1"/>
      <c r="BI49" s="2"/>
      <c r="BK49" s="1"/>
      <c r="BL49" s="1"/>
      <c r="BM49" s="1"/>
      <c r="BN49" s="1"/>
      <c r="BO49" s="1"/>
      <c r="BP49" s="1"/>
      <c r="BQ49" s="1" t="s">
        <v>36</v>
      </c>
      <c r="BR49" s="1"/>
      <c r="BS49" s="2"/>
      <c r="BV49" s="1"/>
      <c r="BW49" s="1"/>
      <c r="BX49" s="1"/>
      <c r="BY49" s="1"/>
      <c r="BZ49" s="1"/>
      <c r="CA49" s="1" t="s">
        <v>36</v>
      </c>
      <c r="CB49" s="1"/>
      <c r="CC49" s="2"/>
      <c r="CF49" s="1"/>
      <c r="CG49" s="1"/>
      <c r="CH49" s="1"/>
      <c r="CI49" s="1"/>
      <c r="CJ49" s="1"/>
      <c r="CK49" s="1"/>
      <c r="CL49" s="1"/>
      <c r="CM49" s="2"/>
      <c r="CP49" s="1"/>
      <c r="CQ49" s="1"/>
      <c r="CR49" s="1"/>
      <c r="CS49" s="1"/>
      <c r="CT49" s="1"/>
      <c r="CU49" s="1"/>
      <c r="CV49" s="1"/>
      <c r="CW49" s="2"/>
      <c r="CZ49" s="1"/>
      <c r="DA49" s="1"/>
      <c r="DB49" s="1"/>
      <c r="DC49" s="1"/>
      <c r="DD49" s="1"/>
      <c r="DE49" s="1"/>
      <c r="DF49" s="1"/>
      <c r="DG49" s="2"/>
    </row>
    <row r="50" spans="1:111" ht="14.65" customHeight="1" thickBot="1" x14ac:dyDescent="0.3">
      <c r="A50" s="1"/>
      <c r="B50" s="69"/>
      <c r="C50" s="69"/>
      <c r="D50" s="69"/>
      <c r="E50" s="69"/>
      <c r="F50" s="69"/>
      <c r="G50" s="70" t="s">
        <v>39</v>
      </c>
      <c r="H50" s="138">
        <v>966.07</v>
      </c>
      <c r="I50" s="200">
        <v>0</v>
      </c>
      <c r="J50" s="200">
        <v>0</v>
      </c>
      <c r="K50" s="200">
        <v>0</v>
      </c>
      <c r="L50" s="94">
        <f t="shared" si="27"/>
        <v>966.07</v>
      </c>
      <c r="M50" s="105">
        <v>1400</v>
      </c>
      <c r="N50" s="106">
        <v>1200</v>
      </c>
      <c r="O50" s="107">
        <v>1200</v>
      </c>
      <c r="P50" s="143">
        <f t="shared" si="26"/>
        <v>233.92999999999995</v>
      </c>
      <c r="Q50" s="133">
        <f>O50-L50</f>
        <v>233.92999999999995</v>
      </c>
      <c r="R50" s="134">
        <f>O50-N50</f>
        <v>0</v>
      </c>
      <c r="T50" s="1"/>
      <c r="U50" s="2"/>
      <c r="W50" s="1"/>
      <c r="X50" s="1"/>
      <c r="Y50" s="1"/>
      <c r="Z50" s="1"/>
      <c r="AA50" s="1"/>
      <c r="AB50" s="1"/>
      <c r="AC50" s="1"/>
      <c r="AD50" s="1" t="s">
        <v>37</v>
      </c>
      <c r="AE50" s="2">
        <v>1340</v>
      </c>
      <c r="AH50" s="1"/>
      <c r="AI50" s="1"/>
      <c r="AJ50" s="1"/>
      <c r="AK50" s="1"/>
      <c r="AL50" s="1"/>
      <c r="AM50" s="1"/>
      <c r="AN50" s="1" t="s">
        <v>37</v>
      </c>
      <c r="AO50" s="2">
        <v>0</v>
      </c>
      <c r="AQ50" s="1"/>
      <c r="AR50" s="1"/>
      <c r="AS50" s="1"/>
      <c r="AT50" s="1"/>
      <c r="AU50" s="1"/>
      <c r="AV50" s="1"/>
      <c r="AW50" s="1"/>
      <c r="AX50" s="1" t="s">
        <v>37</v>
      </c>
      <c r="AY50" s="2">
        <v>0</v>
      </c>
      <c r="BB50" s="1"/>
      <c r="BC50" s="1"/>
      <c r="BD50" s="1"/>
      <c r="BE50" s="1"/>
      <c r="BF50" s="1"/>
      <c r="BG50" s="1"/>
      <c r="BH50" s="1" t="s">
        <v>37</v>
      </c>
      <c r="BI50" s="2">
        <v>0</v>
      </c>
      <c r="BK50" s="1"/>
      <c r="BL50" s="1"/>
      <c r="BM50" s="1"/>
      <c r="BN50" s="1"/>
      <c r="BO50" s="1"/>
      <c r="BP50" s="1"/>
      <c r="BQ50" s="1"/>
      <c r="BR50" s="1" t="s">
        <v>37</v>
      </c>
      <c r="BS50" s="2">
        <v>3200</v>
      </c>
      <c r="BV50" s="1"/>
      <c r="BW50" s="1"/>
      <c r="BX50" s="1"/>
      <c r="BY50" s="1"/>
      <c r="BZ50" s="1"/>
      <c r="CA50" s="1"/>
      <c r="CB50" s="1" t="s">
        <v>37</v>
      </c>
      <c r="CC50" s="2">
        <v>3500</v>
      </c>
      <c r="CF50" s="1"/>
      <c r="CG50" s="1"/>
      <c r="CH50" s="1"/>
      <c r="CI50" s="1"/>
      <c r="CJ50" s="1"/>
      <c r="CK50" s="1"/>
      <c r="CL50" s="1"/>
      <c r="CM50" s="2"/>
      <c r="CP50" s="1"/>
      <c r="CQ50" s="1"/>
      <c r="CR50" s="1"/>
      <c r="CS50" s="1"/>
      <c r="CT50" s="1"/>
      <c r="CU50" s="1"/>
      <c r="CV50" s="1"/>
      <c r="CW50" s="2"/>
      <c r="CZ50" s="1"/>
      <c r="DA50" s="1"/>
      <c r="DB50" s="1"/>
      <c r="DC50" s="1"/>
      <c r="DD50" s="1"/>
      <c r="DE50" s="1"/>
      <c r="DF50" s="1"/>
      <c r="DG50" s="2"/>
    </row>
    <row r="51" spans="1:111" ht="14.65" customHeight="1" x14ac:dyDescent="0.25">
      <c r="A51" s="1"/>
      <c r="B51" s="18"/>
      <c r="C51" s="18"/>
      <c r="D51" s="18"/>
      <c r="E51" s="18"/>
      <c r="F51" s="18" t="s">
        <v>40</v>
      </c>
      <c r="G51" s="18"/>
      <c r="H51" s="54">
        <f>ROUND(SUM(H47:H50),5)</f>
        <v>3849.63</v>
      </c>
      <c r="I51" s="36">
        <f t="shared" ref="I51:P51" si="28">ROUND(SUM(I47:I50),5)</f>
        <v>252.98</v>
      </c>
      <c r="J51" s="36">
        <f t="shared" si="28"/>
        <v>75.430000000000007</v>
      </c>
      <c r="K51" s="36">
        <f t="shared" si="28"/>
        <v>2262.69</v>
      </c>
      <c r="L51" s="109">
        <f t="shared" si="28"/>
        <v>6440.73</v>
      </c>
      <c r="M51" s="108">
        <f t="shared" si="28"/>
        <v>5500</v>
      </c>
      <c r="N51" s="109">
        <f t="shared" si="28"/>
        <v>6700</v>
      </c>
      <c r="O51" s="97">
        <f t="shared" si="28"/>
        <v>6700</v>
      </c>
      <c r="P51" s="109">
        <f t="shared" si="28"/>
        <v>259.27</v>
      </c>
      <c r="Q51" s="109">
        <f t="shared" ref="Q51" si="29">ROUND(SUM(Q47:Q50),5)</f>
        <v>259.27</v>
      </c>
      <c r="R51" s="110">
        <f t="shared" ref="R51" si="30">ROUND(SUM(R47:R50),5)</f>
        <v>0</v>
      </c>
      <c r="T51" s="1"/>
      <c r="U51" s="2"/>
      <c r="W51" s="1"/>
      <c r="X51" s="1"/>
      <c r="Y51" s="1"/>
      <c r="Z51" s="1"/>
      <c r="AA51" s="1"/>
      <c r="AB51" s="1"/>
      <c r="AC51" s="1"/>
      <c r="AD51" s="1" t="s">
        <v>38</v>
      </c>
      <c r="AE51" s="2">
        <v>1543.56</v>
      </c>
      <c r="AH51" s="1"/>
      <c r="AI51" s="1"/>
      <c r="AJ51" s="1"/>
      <c r="AK51" s="1"/>
      <c r="AL51" s="1"/>
      <c r="AM51" s="1"/>
      <c r="AN51" s="1" t="s">
        <v>38</v>
      </c>
      <c r="AO51" s="2">
        <v>252.98</v>
      </c>
      <c r="AQ51" s="1"/>
      <c r="AR51" s="1"/>
      <c r="AS51" s="1"/>
      <c r="AT51" s="1"/>
      <c r="AU51" s="1"/>
      <c r="AV51" s="1"/>
      <c r="AW51" s="1"/>
      <c r="AX51" s="1" t="s">
        <v>38</v>
      </c>
      <c r="AY51" s="2">
        <v>75.430000000000007</v>
      </c>
      <c r="BB51" s="1"/>
      <c r="BC51" s="1"/>
      <c r="BD51" s="1"/>
      <c r="BE51" s="1"/>
      <c r="BF51" s="1"/>
      <c r="BG51" s="1"/>
      <c r="BH51" s="1" t="s">
        <v>38</v>
      </c>
      <c r="BI51" s="2">
        <v>62.69</v>
      </c>
      <c r="BK51" s="1"/>
      <c r="BL51" s="1"/>
      <c r="BM51" s="1"/>
      <c r="BN51" s="1"/>
      <c r="BO51" s="1"/>
      <c r="BP51" s="1"/>
      <c r="BQ51" s="1"/>
      <c r="BR51" s="1" t="s">
        <v>38</v>
      </c>
      <c r="BS51" s="2">
        <v>900</v>
      </c>
      <c r="BV51" s="1"/>
      <c r="BW51" s="1"/>
      <c r="BX51" s="1"/>
      <c r="BY51" s="1"/>
      <c r="BZ51" s="1"/>
      <c r="CA51" s="1"/>
      <c r="CB51" s="1" t="s">
        <v>38</v>
      </c>
      <c r="CC51" s="2">
        <v>2000</v>
      </c>
      <c r="CF51" s="1"/>
      <c r="CG51" s="1"/>
      <c r="CH51" s="1"/>
      <c r="CI51" s="1"/>
      <c r="CJ51" s="1"/>
      <c r="CK51" s="1"/>
      <c r="CL51" s="1"/>
      <c r="CM51" s="2"/>
      <c r="CP51" s="1"/>
      <c r="CQ51" s="1"/>
      <c r="CR51" s="1"/>
      <c r="CS51" s="1"/>
      <c r="CT51" s="1"/>
      <c r="CU51" s="1"/>
      <c r="CV51" s="1"/>
      <c r="CW51" s="2"/>
      <c r="CZ51" s="1"/>
      <c r="DA51" s="1"/>
      <c r="DB51" s="1"/>
      <c r="DC51" s="1"/>
      <c r="DD51" s="1"/>
      <c r="DE51" s="1"/>
      <c r="DF51" s="1"/>
      <c r="DG51" s="2"/>
    </row>
    <row r="52" spans="1:111" ht="14.65" customHeight="1" thickBot="1" x14ac:dyDescent="0.3">
      <c r="A52" s="1"/>
      <c r="B52" s="1"/>
      <c r="C52" s="1"/>
      <c r="D52" s="1"/>
      <c r="E52" s="1"/>
      <c r="F52" s="1" t="s">
        <v>41</v>
      </c>
      <c r="G52" s="1"/>
      <c r="H52" s="53"/>
      <c r="I52" s="35"/>
      <c r="J52" s="35"/>
      <c r="K52" s="35"/>
      <c r="L52" s="102"/>
      <c r="M52" s="101"/>
      <c r="N52" s="102"/>
      <c r="O52" s="103"/>
      <c r="P52" s="102"/>
      <c r="Q52" s="102"/>
      <c r="R52" s="103"/>
      <c r="T52" s="1"/>
      <c r="U52" s="2"/>
      <c r="W52" s="1"/>
      <c r="X52" s="1"/>
      <c r="Y52" s="1"/>
      <c r="Z52" s="1"/>
      <c r="AA52" s="1"/>
      <c r="AB52" s="1"/>
      <c r="AC52" s="1"/>
      <c r="AD52" s="1" t="s">
        <v>39</v>
      </c>
      <c r="AE52" s="17">
        <v>966.07</v>
      </c>
      <c r="AH52" s="1"/>
      <c r="AI52" s="1"/>
      <c r="AJ52" s="1"/>
      <c r="AK52" s="1"/>
      <c r="AL52" s="1"/>
      <c r="AM52" s="1"/>
      <c r="AN52" s="1" t="s">
        <v>39</v>
      </c>
      <c r="AO52" s="17">
        <v>-6412.09</v>
      </c>
      <c r="AQ52" s="1"/>
      <c r="AR52" s="1"/>
      <c r="AS52" s="1"/>
      <c r="AT52" s="1"/>
      <c r="AU52" s="1"/>
      <c r="AV52" s="1"/>
      <c r="AW52" s="1"/>
      <c r="AX52" s="1" t="s">
        <v>39</v>
      </c>
      <c r="AY52" s="17">
        <v>0</v>
      </c>
      <c r="BB52" s="1"/>
      <c r="BC52" s="1"/>
      <c r="BD52" s="1"/>
      <c r="BE52" s="1"/>
      <c r="BF52" s="1"/>
      <c r="BG52" s="1"/>
      <c r="BH52" s="1" t="s">
        <v>39</v>
      </c>
      <c r="BI52" s="17">
        <v>6423.7</v>
      </c>
      <c r="BK52" s="1"/>
      <c r="BL52" s="1"/>
      <c r="BM52" s="1"/>
      <c r="BN52" s="1"/>
      <c r="BO52" s="1"/>
      <c r="BP52" s="1"/>
      <c r="BQ52" s="1"/>
      <c r="BR52" s="1" t="s">
        <v>39</v>
      </c>
      <c r="BS52" s="17">
        <v>1400</v>
      </c>
      <c r="BV52" s="1"/>
      <c r="BW52" s="1"/>
      <c r="BX52" s="1"/>
      <c r="BY52" s="1"/>
      <c r="BZ52" s="1"/>
      <c r="CA52" s="1"/>
      <c r="CB52" s="1" t="s">
        <v>39</v>
      </c>
      <c r="CC52" s="17">
        <v>1200</v>
      </c>
      <c r="CF52" s="1"/>
      <c r="CG52" s="1"/>
      <c r="CH52" s="1"/>
      <c r="CI52" s="1"/>
      <c r="CJ52" s="1"/>
      <c r="CK52" s="1"/>
      <c r="CL52" s="1"/>
      <c r="CM52" s="2"/>
      <c r="CP52" s="1"/>
      <c r="CQ52" s="1"/>
      <c r="CR52" s="1"/>
      <c r="CS52" s="1"/>
      <c r="CT52" s="1"/>
      <c r="CU52" s="1"/>
      <c r="CV52" s="1"/>
      <c r="CW52" s="2"/>
      <c r="CZ52" s="1"/>
      <c r="DA52" s="1"/>
      <c r="DB52" s="1"/>
      <c r="DC52" s="1"/>
      <c r="DD52" s="1"/>
      <c r="DE52" s="1"/>
      <c r="DF52" s="1"/>
      <c r="DG52" s="2"/>
    </row>
    <row r="53" spans="1:111" ht="14.65" customHeight="1" x14ac:dyDescent="0.25">
      <c r="A53" s="1"/>
      <c r="B53" s="1"/>
      <c r="C53" s="1"/>
      <c r="D53" s="1"/>
      <c r="E53" s="1"/>
      <c r="F53" s="1"/>
      <c r="G53" s="1" t="s">
        <v>42</v>
      </c>
      <c r="H53" s="137">
        <v>871.59</v>
      </c>
      <c r="I53" s="198">
        <v>148.44</v>
      </c>
      <c r="J53" s="198">
        <v>65</v>
      </c>
      <c r="K53" s="198">
        <v>65</v>
      </c>
      <c r="L53" s="90">
        <f>SUM(H53:K53)</f>
        <v>1150.03</v>
      </c>
      <c r="M53" s="104">
        <v>2000</v>
      </c>
      <c r="N53" s="92">
        <v>2000</v>
      </c>
      <c r="O53" s="93">
        <v>1200</v>
      </c>
      <c r="P53" s="142">
        <f t="shared" ref="P53:P60" si="31">N53-L53</f>
        <v>849.97</v>
      </c>
      <c r="Q53" s="131">
        <f t="shared" ref="Q53:Q60" si="32">O53-L53</f>
        <v>49.970000000000027</v>
      </c>
      <c r="R53" s="132">
        <f t="shared" ref="R53:R60" si="33">O53-N53</f>
        <v>-800</v>
      </c>
      <c r="T53" s="1"/>
      <c r="U53" s="2"/>
      <c r="W53" s="1"/>
      <c r="X53" s="1"/>
      <c r="Y53" s="1"/>
      <c r="Z53" s="1"/>
      <c r="AA53" s="1"/>
      <c r="AB53" s="1"/>
      <c r="AC53" s="1" t="s">
        <v>40</v>
      </c>
      <c r="AD53" s="1"/>
      <c r="AE53" s="2">
        <f>ROUND(SUM(AE49:AE52),5)</f>
        <v>3849.63</v>
      </c>
      <c r="AH53" s="1"/>
      <c r="AI53" s="1"/>
      <c r="AJ53" s="1"/>
      <c r="AK53" s="1"/>
      <c r="AL53" s="1"/>
      <c r="AM53" s="1" t="s">
        <v>40</v>
      </c>
      <c r="AN53" s="1"/>
      <c r="AO53" s="2">
        <f>ROUND(SUM(AO49:AO52),5)</f>
        <v>-6159.11</v>
      </c>
      <c r="AQ53" s="1"/>
      <c r="AR53" s="1"/>
      <c r="AS53" s="1"/>
      <c r="AT53" s="1"/>
      <c r="AU53" s="1"/>
      <c r="AV53" s="1"/>
      <c r="AW53" s="1" t="s">
        <v>40</v>
      </c>
      <c r="AX53" s="1"/>
      <c r="AY53" s="2">
        <f>ROUND(SUM(AY49:AY52),5)</f>
        <v>75.430000000000007</v>
      </c>
      <c r="BB53" s="1"/>
      <c r="BC53" s="1"/>
      <c r="BD53" s="1"/>
      <c r="BE53" s="1"/>
      <c r="BF53" s="1"/>
      <c r="BG53" s="1" t="s">
        <v>40</v>
      </c>
      <c r="BH53" s="1"/>
      <c r="BI53" s="2">
        <f>ROUND(SUM(BI49:BI52),5)</f>
        <v>6486.39</v>
      </c>
      <c r="BK53" s="1"/>
      <c r="BL53" s="1"/>
      <c r="BM53" s="1"/>
      <c r="BN53" s="1"/>
      <c r="BO53" s="1"/>
      <c r="BP53" s="1"/>
      <c r="BQ53" s="1" t="s">
        <v>40</v>
      </c>
      <c r="BR53" s="1"/>
      <c r="BS53" s="2">
        <f>ROUND(SUM(BS49:BS52),5)</f>
        <v>5500</v>
      </c>
      <c r="BV53" s="1"/>
      <c r="BW53" s="1"/>
      <c r="BX53" s="1"/>
      <c r="BY53" s="1"/>
      <c r="BZ53" s="1"/>
      <c r="CA53" s="1" t="s">
        <v>40</v>
      </c>
      <c r="CB53" s="1"/>
      <c r="CC53" s="2">
        <f>ROUND(SUM(CC49:CC52),5)</f>
        <v>6700</v>
      </c>
      <c r="CF53" s="1"/>
      <c r="CG53" s="1"/>
      <c r="CH53" s="1"/>
      <c r="CI53" s="1"/>
      <c r="CJ53" s="1"/>
      <c r="CK53" s="1"/>
      <c r="CL53" s="1"/>
      <c r="CM53" s="2"/>
      <c r="CP53" s="1"/>
      <c r="CQ53" s="1"/>
      <c r="CR53" s="1"/>
      <c r="CS53" s="1"/>
      <c r="CT53" s="1"/>
      <c r="CU53" s="1"/>
      <c r="CV53" s="1"/>
      <c r="CW53" s="2"/>
      <c r="CZ53" s="1"/>
      <c r="DA53" s="1"/>
      <c r="DB53" s="1"/>
      <c r="DC53" s="1"/>
      <c r="DD53" s="1"/>
      <c r="DE53" s="1"/>
      <c r="DF53" s="1"/>
      <c r="DG53" s="2"/>
    </row>
    <row r="54" spans="1:111" ht="14.65" customHeight="1" x14ac:dyDescent="0.25">
      <c r="A54" s="1"/>
      <c r="B54" s="1"/>
      <c r="C54" s="1"/>
      <c r="D54" s="1"/>
      <c r="E54" s="1"/>
      <c r="F54" s="1"/>
      <c r="G54" s="1" t="s">
        <v>126</v>
      </c>
      <c r="H54" s="137">
        <v>822.61</v>
      </c>
      <c r="I54" s="198">
        <v>11.05</v>
      </c>
      <c r="J54" s="198">
        <v>11.05</v>
      </c>
      <c r="K54" s="198">
        <v>26.21</v>
      </c>
      <c r="L54" s="90">
        <f t="shared" ref="L54:L60" si="34">SUM(H54:K54)</f>
        <v>870.92</v>
      </c>
      <c r="M54" s="104">
        <v>800</v>
      </c>
      <c r="N54" s="92">
        <v>800</v>
      </c>
      <c r="O54" s="93">
        <v>900</v>
      </c>
      <c r="P54" s="142">
        <f t="shared" si="31"/>
        <v>-70.919999999999959</v>
      </c>
      <c r="Q54" s="131">
        <f t="shared" si="32"/>
        <v>29.080000000000041</v>
      </c>
      <c r="R54" s="132">
        <f t="shared" si="33"/>
        <v>100</v>
      </c>
      <c r="T54" s="81"/>
      <c r="U54" s="2"/>
      <c r="W54" s="1"/>
      <c r="X54" s="1"/>
      <c r="Y54" s="1"/>
      <c r="Z54" s="1"/>
      <c r="AA54" s="1"/>
      <c r="AB54" s="1"/>
      <c r="AC54" s="1" t="s">
        <v>41</v>
      </c>
      <c r="AD54" s="1"/>
      <c r="AE54" s="2"/>
      <c r="AH54" s="1"/>
      <c r="AI54" s="1"/>
      <c r="AJ54" s="1"/>
      <c r="AK54" s="1"/>
      <c r="AL54" s="1"/>
      <c r="AM54" s="1" t="s">
        <v>41</v>
      </c>
      <c r="AN54" s="1"/>
      <c r="AO54" s="2"/>
      <c r="AQ54" s="1"/>
      <c r="AR54" s="1"/>
      <c r="AS54" s="1"/>
      <c r="AT54" s="1"/>
      <c r="AU54" s="1"/>
      <c r="AV54" s="1"/>
      <c r="AW54" s="1" t="s">
        <v>41</v>
      </c>
      <c r="AX54" s="1"/>
      <c r="AY54" s="2"/>
      <c r="BB54" s="1"/>
      <c r="BC54" s="1"/>
      <c r="BD54" s="1"/>
      <c r="BE54" s="1"/>
      <c r="BF54" s="1"/>
      <c r="BG54" s="1" t="s">
        <v>41</v>
      </c>
      <c r="BH54" s="1"/>
      <c r="BI54" s="2"/>
      <c r="BK54" s="1"/>
      <c r="BL54" s="1"/>
      <c r="BM54" s="1"/>
      <c r="BN54" s="1"/>
      <c r="BO54" s="1"/>
      <c r="BP54" s="1"/>
      <c r="BQ54" s="1" t="s">
        <v>41</v>
      </c>
      <c r="BR54" s="1"/>
      <c r="BS54" s="2"/>
      <c r="BV54" s="1"/>
      <c r="BW54" s="1"/>
      <c r="BX54" s="1"/>
      <c r="BY54" s="1"/>
      <c r="BZ54" s="1"/>
      <c r="CA54" s="1" t="s">
        <v>41</v>
      </c>
      <c r="CB54" s="1"/>
      <c r="CC54" s="2"/>
      <c r="CF54" s="1"/>
      <c r="CG54" s="1"/>
      <c r="CH54" s="1"/>
      <c r="CI54" s="1"/>
      <c r="CJ54" s="1"/>
      <c r="CK54" s="1"/>
      <c r="CL54" s="1"/>
      <c r="CM54" s="2"/>
      <c r="CP54" s="1"/>
      <c r="CQ54" s="1"/>
      <c r="CR54" s="1"/>
      <c r="CS54" s="1"/>
      <c r="CT54" s="1"/>
      <c r="CU54" s="1"/>
      <c r="CV54" s="1"/>
      <c r="CW54" s="2"/>
      <c r="CZ54" s="1"/>
      <c r="DA54" s="1"/>
      <c r="DB54" s="1"/>
      <c r="DC54" s="1"/>
      <c r="DD54" s="1"/>
      <c r="DE54" s="1"/>
      <c r="DF54" s="1"/>
      <c r="DG54" s="2"/>
    </row>
    <row r="55" spans="1:111" ht="14.65" customHeight="1" x14ac:dyDescent="0.25">
      <c r="A55" s="1"/>
      <c r="B55" s="1"/>
      <c r="C55" s="1"/>
      <c r="D55" s="1"/>
      <c r="E55" s="1"/>
      <c r="F55" s="1"/>
      <c r="G55" s="1" t="s">
        <v>43</v>
      </c>
      <c r="H55" s="137">
        <v>992.73</v>
      </c>
      <c r="I55" s="198">
        <v>12</v>
      </c>
      <c r="J55" s="198">
        <v>12</v>
      </c>
      <c r="K55" s="198">
        <v>12</v>
      </c>
      <c r="L55" s="90">
        <f t="shared" si="34"/>
        <v>1028.73</v>
      </c>
      <c r="M55" s="104">
        <v>2600</v>
      </c>
      <c r="N55" s="92">
        <v>2600</v>
      </c>
      <c r="O55" s="93">
        <v>1100</v>
      </c>
      <c r="P55" s="142">
        <f t="shared" si="31"/>
        <v>1571.27</v>
      </c>
      <c r="Q55" s="131">
        <f t="shared" si="32"/>
        <v>71.269999999999982</v>
      </c>
      <c r="R55" s="132">
        <f t="shared" si="33"/>
        <v>-1500</v>
      </c>
      <c r="T55" s="145"/>
      <c r="U55" s="2"/>
      <c r="W55" s="1"/>
      <c r="X55" s="1"/>
      <c r="Y55" s="1"/>
      <c r="Z55" s="1"/>
      <c r="AA55" s="1"/>
      <c r="AB55" s="1"/>
      <c r="AC55" s="1"/>
      <c r="AD55" s="1" t="s">
        <v>42</v>
      </c>
      <c r="AE55" s="2">
        <v>871.59</v>
      </c>
      <c r="AH55" s="1"/>
      <c r="AI55" s="1"/>
      <c r="AJ55" s="1"/>
      <c r="AK55" s="1"/>
      <c r="AL55" s="1"/>
      <c r="AM55" s="1"/>
      <c r="AN55" s="1" t="s">
        <v>42</v>
      </c>
      <c r="AO55" s="2">
        <v>148.44</v>
      </c>
      <c r="AQ55" s="1"/>
      <c r="AR55" s="1"/>
      <c r="AS55" s="1"/>
      <c r="AT55" s="1"/>
      <c r="AU55" s="1"/>
      <c r="AV55" s="1"/>
      <c r="AW55" s="1"/>
      <c r="AX55" s="1" t="s">
        <v>42</v>
      </c>
      <c r="AY55" s="2">
        <v>65</v>
      </c>
      <c r="BB55" s="1"/>
      <c r="BC55" s="1"/>
      <c r="BD55" s="1"/>
      <c r="BE55" s="1"/>
      <c r="BF55" s="1"/>
      <c r="BG55" s="1"/>
      <c r="BH55" s="1" t="s">
        <v>42</v>
      </c>
      <c r="BI55" s="2">
        <v>65</v>
      </c>
      <c r="BK55" s="1"/>
      <c r="BL55" s="1"/>
      <c r="BM55" s="1"/>
      <c r="BN55" s="1"/>
      <c r="BO55" s="1"/>
      <c r="BP55" s="1"/>
      <c r="BQ55" s="1"/>
      <c r="BR55" s="1" t="s">
        <v>42</v>
      </c>
      <c r="BS55" s="2">
        <v>2000</v>
      </c>
      <c r="BV55" s="1"/>
      <c r="BW55" s="1"/>
      <c r="BX55" s="1"/>
      <c r="BY55" s="1"/>
      <c r="BZ55" s="1"/>
      <c r="CA55" s="1"/>
      <c r="CB55" s="1" t="s">
        <v>42</v>
      </c>
      <c r="CC55" s="2">
        <v>2000</v>
      </c>
      <c r="CF55" s="1"/>
      <c r="CG55" s="1"/>
      <c r="CH55" s="1"/>
      <c r="CI55" s="1"/>
      <c r="CJ55" s="1"/>
      <c r="CK55" s="1"/>
      <c r="CL55" s="1"/>
      <c r="CM55" s="2"/>
      <c r="CP55" s="1"/>
      <c r="CQ55" s="1"/>
      <c r="CR55" s="1"/>
      <c r="CS55" s="1"/>
      <c r="CT55" s="1"/>
      <c r="CU55" s="1"/>
      <c r="CV55" s="1"/>
      <c r="CW55" s="2"/>
      <c r="CZ55" s="1"/>
      <c r="DA55" s="1"/>
      <c r="DB55" s="1"/>
      <c r="DC55" s="1"/>
      <c r="DD55" s="1"/>
      <c r="DE55" s="1"/>
      <c r="DF55" s="1"/>
      <c r="DG55" s="2"/>
    </row>
    <row r="56" spans="1:111" ht="14.65" customHeight="1" x14ac:dyDescent="0.25">
      <c r="A56" s="1"/>
      <c r="B56" s="1"/>
      <c r="C56" s="1"/>
      <c r="D56" s="1"/>
      <c r="E56" s="1"/>
      <c r="F56" s="1"/>
      <c r="G56" s="1" t="s">
        <v>44</v>
      </c>
      <c r="H56" s="137">
        <v>386.24</v>
      </c>
      <c r="I56" s="198">
        <v>46.35</v>
      </c>
      <c r="J56" s="198">
        <v>84.97</v>
      </c>
      <c r="K56" s="198">
        <v>77.25</v>
      </c>
      <c r="L56" s="90">
        <f t="shared" si="34"/>
        <v>594.81000000000006</v>
      </c>
      <c r="M56" s="104">
        <v>500</v>
      </c>
      <c r="N56" s="92">
        <v>600</v>
      </c>
      <c r="O56" s="93">
        <v>600</v>
      </c>
      <c r="P56" s="142">
        <f t="shared" si="31"/>
        <v>5.1899999999999409</v>
      </c>
      <c r="Q56" s="131">
        <f t="shared" si="32"/>
        <v>5.1899999999999409</v>
      </c>
      <c r="R56" s="132">
        <f t="shared" si="33"/>
        <v>0</v>
      </c>
      <c r="T56" s="81"/>
      <c r="U56" s="2"/>
      <c r="W56" s="1"/>
      <c r="X56" s="1"/>
      <c r="Y56" s="1"/>
      <c r="Z56" s="1"/>
      <c r="AA56" s="1"/>
      <c r="AB56" s="1"/>
      <c r="AC56" s="1"/>
      <c r="AD56" s="1" t="s">
        <v>126</v>
      </c>
      <c r="AE56" s="2">
        <v>822.61</v>
      </c>
      <c r="AH56" s="1"/>
      <c r="AI56" s="1"/>
      <c r="AJ56" s="1"/>
      <c r="AK56" s="1"/>
      <c r="AL56" s="1"/>
      <c r="AM56" s="1"/>
      <c r="AN56" s="1" t="s">
        <v>126</v>
      </c>
      <c r="AO56" s="2">
        <v>11.05</v>
      </c>
      <c r="AQ56" s="1"/>
      <c r="AR56" s="1"/>
      <c r="AS56" s="1"/>
      <c r="AT56" s="1"/>
      <c r="AU56" s="1"/>
      <c r="AV56" s="1"/>
      <c r="AW56" s="1"/>
      <c r="AX56" s="1" t="s">
        <v>126</v>
      </c>
      <c r="AY56" s="2">
        <v>11.05</v>
      </c>
      <c r="BB56" s="1"/>
      <c r="BC56" s="1"/>
      <c r="BD56" s="1"/>
      <c r="BE56" s="1"/>
      <c r="BF56" s="1"/>
      <c r="BG56" s="1"/>
      <c r="BH56" s="1" t="s">
        <v>126</v>
      </c>
      <c r="BI56" s="2">
        <v>26.21</v>
      </c>
      <c r="BK56" s="1"/>
      <c r="BL56" s="1"/>
      <c r="BM56" s="1"/>
      <c r="BN56" s="1"/>
      <c r="BO56" s="1"/>
      <c r="BP56" s="1"/>
      <c r="BQ56" s="1"/>
      <c r="BR56" s="1" t="s">
        <v>126</v>
      </c>
      <c r="BS56" s="2">
        <v>800</v>
      </c>
      <c r="BV56" s="1"/>
      <c r="BW56" s="1"/>
      <c r="BX56" s="1"/>
      <c r="BY56" s="1"/>
      <c r="BZ56" s="1"/>
      <c r="CA56" s="1"/>
      <c r="CB56" s="1" t="s">
        <v>126</v>
      </c>
      <c r="CC56" s="2">
        <v>800</v>
      </c>
      <c r="CF56" s="1"/>
      <c r="CG56" s="1"/>
      <c r="CH56" s="1"/>
      <c r="CI56" s="1"/>
      <c r="CJ56" s="1"/>
      <c r="CK56" s="1"/>
      <c r="CL56" s="1"/>
      <c r="CM56" s="2"/>
      <c r="CP56" s="1"/>
      <c r="CQ56" s="1"/>
      <c r="CR56" s="1"/>
      <c r="CS56" s="1"/>
      <c r="CT56" s="1"/>
      <c r="CU56" s="1"/>
      <c r="CV56" s="1"/>
      <c r="CW56" s="2"/>
      <c r="CZ56" s="1"/>
      <c r="DA56" s="1"/>
      <c r="DB56" s="1"/>
      <c r="DC56" s="1"/>
      <c r="DD56" s="1"/>
      <c r="DE56" s="1"/>
      <c r="DF56" s="1"/>
      <c r="DG56" s="2"/>
    </row>
    <row r="57" spans="1:111" ht="14.65" customHeight="1" x14ac:dyDescent="0.25">
      <c r="A57" s="1"/>
      <c r="B57" s="1"/>
      <c r="C57" s="1"/>
      <c r="D57" s="1"/>
      <c r="E57" s="1"/>
      <c r="F57" s="1"/>
      <c r="G57" s="1" t="s">
        <v>127</v>
      </c>
      <c r="H57" s="137">
        <v>2832.08</v>
      </c>
      <c r="I57" s="198">
        <v>199.54</v>
      </c>
      <c r="J57" s="198">
        <v>174.59</v>
      </c>
      <c r="K57" s="198">
        <v>233.25</v>
      </c>
      <c r="L57" s="90">
        <f t="shared" si="34"/>
        <v>3439.46</v>
      </c>
      <c r="M57" s="104">
        <v>3000</v>
      </c>
      <c r="N57" s="92">
        <v>2500</v>
      </c>
      <c r="O57" s="93">
        <v>3500</v>
      </c>
      <c r="P57" s="142">
        <f t="shared" si="31"/>
        <v>-939.46</v>
      </c>
      <c r="Q57" s="131">
        <f t="shared" si="32"/>
        <v>60.539999999999964</v>
      </c>
      <c r="R57" s="132">
        <f t="shared" si="33"/>
        <v>1000</v>
      </c>
      <c r="T57" s="81"/>
      <c r="U57" s="2"/>
      <c r="W57" s="1"/>
      <c r="X57" s="1"/>
      <c r="Y57" s="1"/>
      <c r="Z57" s="1"/>
      <c r="AA57" s="1"/>
      <c r="AB57" s="1"/>
      <c r="AC57" s="1"/>
      <c r="AD57" s="1" t="s">
        <v>43</v>
      </c>
      <c r="AE57" s="2">
        <v>992.73</v>
      </c>
      <c r="AH57" s="1"/>
      <c r="AI57" s="1"/>
      <c r="AJ57" s="1"/>
      <c r="AK57" s="1"/>
      <c r="AL57" s="1"/>
      <c r="AM57" s="1"/>
      <c r="AN57" s="1" t="s">
        <v>43</v>
      </c>
      <c r="AO57" s="2">
        <v>12</v>
      </c>
      <c r="AQ57" s="1"/>
      <c r="AR57" s="1"/>
      <c r="AS57" s="1"/>
      <c r="AT57" s="1"/>
      <c r="AU57" s="1"/>
      <c r="AV57" s="1"/>
      <c r="AW57" s="1"/>
      <c r="AX57" s="1" t="s">
        <v>43</v>
      </c>
      <c r="AY57" s="2">
        <v>12</v>
      </c>
      <c r="BB57" s="1"/>
      <c r="BC57" s="1"/>
      <c r="BD57" s="1"/>
      <c r="BE57" s="1"/>
      <c r="BF57" s="1"/>
      <c r="BG57" s="1"/>
      <c r="BH57" s="1" t="s">
        <v>43</v>
      </c>
      <c r="BI57" s="2">
        <v>12</v>
      </c>
      <c r="BK57" s="1"/>
      <c r="BL57" s="1"/>
      <c r="BM57" s="1"/>
      <c r="BN57" s="1"/>
      <c r="BO57" s="1"/>
      <c r="BP57" s="1"/>
      <c r="BQ57" s="1"/>
      <c r="BR57" s="1" t="s">
        <v>43</v>
      </c>
      <c r="BS57" s="2">
        <v>2600</v>
      </c>
      <c r="BV57" s="1"/>
      <c r="BW57" s="1"/>
      <c r="BX57" s="1"/>
      <c r="BY57" s="1"/>
      <c r="BZ57" s="1"/>
      <c r="CA57" s="1"/>
      <c r="CB57" s="1" t="s">
        <v>43</v>
      </c>
      <c r="CC57" s="2">
        <v>2600</v>
      </c>
      <c r="CF57" s="1"/>
      <c r="CG57" s="1"/>
      <c r="CH57" s="1"/>
      <c r="CI57" s="1"/>
      <c r="CJ57" s="1"/>
      <c r="CK57" s="1"/>
      <c r="CL57" s="1"/>
      <c r="CM57" s="2"/>
      <c r="CP57" s="1"/>
      <c r="CQ57" s="1"/>
      <c r="CR57" s="1"/>
      <c r="CS57" s="1"/>
      <c r="CT57" s="1"/>
      <c r="CU57" s="1"/>
      <c r="CV57" s="1"/>
      <c r="CW57" s="2"/>
      <c r="CZ57" s="1"/>
      <c r="DA57" s="1"/>
      <c r="DB57" s="1"/>
      <c r="DC57" s="1"/>
      <c r="DD57" s="1"/>
      <c r="DE57" s="1"/>
      <c r="DF57" s="1"/>
      <c r="DG57" s="2"/>
    </row>
    <row r="58" spans="1:111" ht="14.65" customHeight="1" x14ac:dyDescent="0.25">
      <c r="A58" s="1"/>
      <c r="B58" s="1"/>
      <c r="C58" s="1"/>
      <c r="D58" s="1"/>
      <c r="E58" s="1"/>
      <c r="F58" s="1"/>
      <c r="G58" s="1" t="s">
        <v>45</v>
      </c>
      <c r="H58" s="137">
        <v>164.82</v>
      </c>
      <c r="I58" s="198">
        <v>11.16</v>
      </c>
      <c r="J58" s="198">
        <v>0</v>
      </c>
      <c r="K58" s="198">
        <v>146</v>
      </c>
      <c r="L58" s="90">
        <f t="shared" si="34"/>
        <v>321.98</v>
      </c>
      <c r="M58" s="104">
        <v>500</v>
      </c>
      <c r="N58" s="92">
        <v>400</v>
      </c>
      <c r="O58" s="93">
        <v>400</v>
      </c>
      <c r="P58" s="142">
        <f t="shared" si="31"/>
        <v>78.019999999999982</v>
      </c>
      <c r="Q58" s="131">
        <f t="shared" si="32"/>
        <v>78.019999999999982</v>
      </c>
      <c r="R58" s="132">
        <f t="shared" si="33"/>
        <v>0</v>
      </c>
      <c r="T58" s="1"/>
      <c r="U58" s="2"/>
      <c r="W58" s="1"/>
      <c r="X58" s="1"/>
      <c r="Y58" s="1"/>
      <c r="Z58" s="1"/>
      <c r="AA58" s="1"/>
      <c r="AB58" s="1"/>
      <c r="AC58" s="1"/>
      <c r="AD58" s="1" t="s">
        <v>44</v>
      </c>
      <c r="AE58" s="2">
        <v>386.24</v>
      </c>
      <c r="AH58" s="1"/>
      <c r="AI58" s="1"/>
      <c r="AJ58" s="1"/>
      <c r="AK58" s="1"/>
      <c r="AL58" s="1"/>
      <c r="AM58" s="1"/>
      <c r="AN58" s="1" t="s">
        <v>44</v>
      </c>
      <c r="AO58" s="2">
        <v>46.35</v>
      </c>
      <c r="AQ58" s="1"/>
      <c r="AR58" s="1"/>
      <c r="AS58" s="1"/>
      <c r="AT58" s="1"/>
      <c r="AU58" s="1"/>
      <c r="AV58" s="1"/>
      <c r="AW58" s="1"/>
      <c r="AX58" s="1" t="s">
        <v>44</v>
      </c>
      <c r="AY58" s="2">
        <v>84.97</v>
      </c>
      <c r="BB58" s="1"/>
      <c r="BC58" s="1"/>
      <c r="BD58" s="1"/>
      <c r="BE58" s="1"/>
      <c r="BF58" s="1"/>
      <c r="BG58" s="1"/>
      <c r="BH58" s="1" t="s">
        <v>44</v>
      </c>
      <c r="BI58" s="2">
        <v>77.25</v>
      </c>
      <c r="BK58" s="1"/>
      <c r="BL58" s="1"/>
      <c r="BM58" s="1"/>
      <c r="BN58" s="1"/>
      <c r="BO58" s="1"/>
      <c r="BP58" s="1"/>
      <c r="BQ58" s="1"/>
      <c r="BR58" s="1" t="s">
        <v>44</v>
      </c>
      <c r="BS58" s="2">
        <v>500</v>
      </c>
      <c r="BV58" s="1"/>
      <c r="BW58" s="1"/>
      <c r="BX58" s="1"/>
      <c r="BY58" s="1"/>
      <c r="BZ58" s="1"/>
      <c r="CA58" s="1"/>
      <c r="CB58" s="1" t="s">
        <v>44</v>
      </c>
      <c r="CC58" s="2">
        <v>600</v>
      </c>
      <c r="CF58" s="1"/>
      <c r="CG58" s="1"/>
      <c r="CH58" s="1"/>
      <c r="CI58" s="1"/>
      <c r="CJ58" s="1"/>
      <c r="CK58" s="1"/>
      <c r="CL58" s="1"/>
      <c r="CM58" s="2"/>
      <c r="CP58" s="1"/>
      <c r="CQ58" s="1"/>
      <c r="CR58" s="1"/>
      <c r="CS58" s="1"/>
      <c r="CT58" s="1"/>
      <c r="CU58" s="1"/>
      <c r="CV58" s="1"/>
      <c r="CW58" s="2"/>
      <c r="CZ58" s="1"/>
      <c r="DA58" s="1"/>
      <c r="DB58" s="1"/>
      <c r="DC58" s="1"/>
      <c r="DD58" s="1"/>
      <c r="DE58" s="1"/>
      <c r="DF58" s="1"/>
      <c r="DG58" s="2"/>
    </row>
    <row r="59" spans="1:111" ht="14.65" customHeight="1" x14ac:dyDescent="0.25">
      <c r="A59" s="1"/>
      <c r="B59" s="1"/>
      <c r="C59" s="1"/>
      <c r="D59" s="1"/>
      <c r="E59" s="1"/>
      <c r="F59" s="1"/>
      <c r="G59" s="1" t="s">
        <v>129</v>
      </c>
      <c r="H59" s="137">
        <v>323.45</v>
      </c>
      <c r="I59" s="198">
        <v>134</v>
      </c>
      <c r="J59" s="198">
        <v>-67</v>
      </c>
      <c r="K59" s="198">
        <v>0</v>
      </c>
      <c r="L59" s="90">
        <f t="shared" si="34"/>
        <v>390.45</v>
      </c>
      <c r="M59" s="104">
        <v>500</v>
      </c>
      <c r="N59" s="92">
        <v>500</v>
      </c>
      <c r="O59" s="93">
        <v>500</v>
      </c>
      <c r="P59" s="142">
        <f t="shared" si="31"/>
        <v>109.55000000000001</v>
      </c>
      <c r="Q59" s="131">
        <f t="shared" si="32"/>
        <v>109.55000000000001</v>
      </c>
      <c r="R59" s="132">
        <f t="shared" si="33"/>
        <v>0</v>
      </c>
      <c r="T59" s="1"/>
      <c r="U59" s="2"/>
      <c r="W59" s="1"/>
      <c r="X59" s="1"/>
      <c r="Y59" s="1"/>
      <c r="Z59" s="1"/>
      <c r="AA59" s="1"/>
      <c r="AB59" s="1"/>
      <c r="AC59" s="1"/>
      <c r="AD59" s="1" t="s">
        <v>127</v>
      </c>
      <c r="AE59" s="2">
        <v>2832.08</v>
      </c>
      <c r="AH59" s="1"/>
      <c r="AI59" s="1"/>
      <c r="AJ59" s="1"/>
      <c r="AK59" s="1"/>
      <c r="AL59" s="1"/>
      <c r="AM59" s="1"/>
      <c r="AN59" s="1" t="s">
        <v>127</v>
      </c>
      <c r="AO59" s="2">
        <v>199.54</v>
      </c>
      <c r="AQ59" s="1"/>
      <c r="AR59" s="1"/>
      <c r="AS59" s="1"/>
      <c r="AT59" s="1"/>
      <c r="AU59" s="1"/>
      <c r="AV59" s="1"/>
      <c r="AW59" s="1"/>
      <c r="AX59" s="1" t="s">
        <v>127</v>
      </c>
      <c r="AY59" s="2">
        <v>174.59</v>
      </c>
      <c r="BB59" s="1"/>
      <c r="BC59" s="1"/>
      <c r="BD59" s="1"/>
      <c r="BE59" s="1"/>
      <c r="BF59" s="1"/>
      <c r="BG59" s="1"/>
      <c r="BH59" s="1" t="s">
        <v>127</v>
      </c>
      <c r="BI59" s="2">
        <v>233.25</v>
      </c>
      <c r="BK59" s="1"/>
      <c r="BL59" s="1"/>
      <c r="BM59" s="1"/>
      <c r="BN59" s="1"/>
      <c r="BO59" s="1"/>
      <c r="BP59" s="1"/>
      <c r="BQ59" s="1"/>
      <c r="BR59" s="1" t="s">
        <v>127</v>
      </c>
      <c r="BS59" s="2">
        <v>3000</v>
      </c>
      <c r="BV59" s="1"/>
      <c r="BW59" s="1"/>
      <c r="BX59" s="1"/>
      <c r="BY59" s="1"/>
      <c r="BZ59" s="1"/>
      <c r="CA59" s="1"/>
      <c r="CB59" s="1" t="s">
        <v>127</v>
      </c>
      <c r="CC59" s="2">
        <v>2500</v>
      </c>
      <c r="CF59" s="1"/>
      <c r="CG59" s="1"/>
      <c r="CH59" s="1"/>
      <c r="CI59" s="1"/>
      <c r="CJ59" s="1"/>
      <c r="CK59" s="1"/>
      <c r="CL59" s="1"/>
      <c r="CM59" s="2"/>
      <c r="CP59" s="1"/>
      <c r="CQ59" s="1"/>
      <c r="CR59" s="1"/>
      <c r="CS59" s="1"/>
      <c r="CT59" s="1"/>
      <c r="CU59" s="1"/>
      <c r="CV59" s="1"/>
      <c r="CW59" s="2"/>
      <c r="CZ59" s="1"/>
      <c r="DA59" s="1"/>
      <c r="DB59" s="1"/>
      <c r="DC59" s="1"/>
      <c r="DD59" s="1"/>
      <c r="DE59" s="1"/>
      <c r="DF59" s="1"/>
      <c r="DG59" s="2"/>
    </row>
    <row r="60" spans="1:111" ht="14.65" customHeight="1" thickBot="1" x14ac:dyDescent="0.3">
      <c r="A60" s="1"/>
      <c r="B60" s="69"/>
      <c r="C60" s="69"/>
      <c r="D60" s="69"/>
      <c r="E60" s="69"/>
      <c r="F60" s="69"/>
      <c r="G60" s="70" t="s">
        <v>128</v>
      </c>
      <c r="H60" s="138">
        <v>406.69</v>
      </c>
      <c r="I60" s="200">
        <v>0</v>
      </c>
      <c r="J60" s="200">
        <v>0</v>
      </c>
      <c r="K60" s="200">
        <v>365.36</v>
      </c>
      <c r="L60" s="94">
        <f t="shared" si="34"/>
        <v>772.05</v>
      </c>
      <c r="M60" s="105">
        <v>600</v>
      </c>
      <c r="N60" s="106">
        <v>600</v>
      </c>
      <c r="O60" s="107">
        <v>800</v>
      </c>
      <c r="P60" s="143">
        <f t="shared" si="31"/>
        <v>-172.04999999999995</v>
      </c>
      <c r="Q60" s="133">
        <f t="shared" si="32"/>
        <v>27.950000000000045</v>
      </c>
      <c r="R60" s="134">
        <f t="shared" si="33"/>
        <v>200</v>
      </c>
      <c r="T60" s="81"/>
      <c r="U60" s="2"/>
      <c r="W60" s="1"/>
      <c r="X60" s="1"/>
      <c r="Y60" s="1"/>
      <c r="Z60" s="1"/>
      <c r="AA60" s="1"/>
      <c r="AB60" s="1"/>
      <c r="AC60" s="1"/>
      <c r="AD60" s="1" t="s">
        <v>45</v>
      </c>
      <c r="AE60" s="2">
        <v>164.82</v>
      </c>
      <c r="AH60" s="1"/>
      <c r="AI60" s="1"/>
      <c r="AJ60" s="1"/>
      <c r="AK60" s="1"/>
      <c r="AL60" s="1"/>
      <c r="AM60" s="1"/>
      <c r="AN60" s="1" t="s">
        <v>45</v>
      </c>
      <c r="AO60" s="2">
        <v>11.16</v>
      </c>
      <c r="AQ60" s="1"/>
      <c r="AR60" s="1"/>
      <c r="AS60" s="1"/>
      <c r="AT60" s="1"/>
      <c r="AU60" s="1"/>
      <c r="AV60" s="1"/>
      <c r="AW60" s="1"/>
      <c r="AX60" s="1" t="s">
        <v>45</v>
      </c>
      <c r="AY60" s="2">
        <v>0</v>
      </c>
      <c r="BB60" s="1"/>
      <c r="BC60" s="1"/>
      <c r="BD60" s="1"/>
      <c r="BE60" s="1"/>
      <c r="BF60" s="1"/>
      <c r="BG60" s="1"/>
      <c r="BH60" s="1" t="s">
        <v>45</v>
      </c>
      <c r="BI60" s="2">
        <v>146</v>
      </c>
      <c r="BK60" s="1"/>
      <c r="BL60" s="1"/>
      <c r="BM60" s="1"/>
      <c r="BN60" s="1"/>
      <c r="BO60" s="1"/>
      <c r="BP60" s="1"/>
      <c r="BQ60" s="1"/>
      <c r="BR60" s="1" t="s">
        <v>45</v>
      </c>
      <c r="BS60" s="2">
        <v>500</v>
      </c>
      <c r="BV60" s="1"/>
      <c r="BW60" s="1"/>
      <c r="BX60" s="1"/>
      <c r="BY60" s="1"/>
      <c r="BZ60" s="1"/>
      <c r="CA60" s="1"/>
      <c r="CB60" s="1" t="s">
        <v>45</v>
      </c>
      <c r="CC60" s="2">
        <v>400</v>
      </c>
      <c r="CF60" s="1"/>
      <c r="CG60" s="1"/>
      <c r="CH60" s="1"/>
      <c r="CI60" s="1"/>
      <c r="CJ60" s="1"/>
      <c r="CK60" s="1"/>
      <c r="CL60" s="1"/>
      <c r="CM60" s="2"/>
      <c r="CP60" s="1"/>
      <c r="CQ60" s="1"/>
      <c r="CR60" s="1"/>
      <c r="CS60" s="1"/>
      <c r="CT60" s="1"/>
      <c r="CU60" s="1"/>
      <c r="CV60" s="1"/>
      <c r="CW60" s="2"/>
      <c r="CZ60" s="1"/>
      <c r="DA60" s="1"/>
      <c r="DB60" s="1"/>
      <c r="DC60" s="1"/>
      <c r="DD60" s="1"/>
      <c r="DE60" s="1"/>
      <c r="DF60" s="1"/>
      <c r="DG60" s="2"/>
    </row>
    <row r="61" spans="1:111" ht="14.65" customHeight="1" x14ac:dyDescent="0.25">
      <c r="A61" s="1"/>
      <c r="B61" s="18"/>
      <c r="C61" s="18"/>
      <c r="D61" s="18"/>
      <c r="E61" s="18"/>
      <c r="F61" s="18" t="s">
        <v>46</v>
      </c>
      <c r="G61" s="18"/>
      <c r="H61" s="54">
        <f>ROUND(SUM(H52:H60),5)</f>
        <v>6800.21</v>
      </c>
      <c r="I61" s="36">
        <f t="shared" ref="I61:P61" si="35">ROUND(SUM(I52:I60),5)</f>
        <v>562.54</v>
      </c>
      <c r="J61" s="36">
        <f t="shared" si="35"/>
        <v>280.61</v>
      </c>
      <c r="K61" s="36">
        <f t="shared" si="35"/>
        <v>925.07</v>
      </c>
      <c r="L61" s="109">
        <f t="shared" si="35"/>
        <v>8568.43</v>
      </c>
      <c r="M61" s="108">
        <f t="shared" si="35"/>
        <v>10500</v>
      </c>
      <c r="N61" s="109">
        <f t="shared" si="35"/>
        <v>10000</v>
      </c>
      <c r="O61" s="97">
        <f t="shared" si="35"/>
        <v>9000</v>
      </c>
      <c r="P61" s="109">
        <f t="shared" si="35"/>
        <v>1431.57</v>
      </c>
      <c r="Q61" s="109">
        <f t="shared" ref="Q61" si="36">ROUND(SUM(Q52:Q60),5)</f>
        <v>431.57</v>
      </c>
      <c r="R61" s="110">
        <f t="shared" ref="R61" si="37">ROUND(SUM(R52:R60),5)</f>
        <v>-1000</v>
      </c>
      <c r="T61" s="1"/>
      <c r="U61" s="2"/>
      <c r="W61" s="1"/>
      <c r="X61" s="1"/>
      <c r="Y61" s="1"/>
      <c r="Z61" s="1"/>
      <c r="AA61" s="1"/>
      <c r="AB61" s="1"/>
      <c r="AC61" s="1"/>
      <c r="AD61" s="1" t="s">
        <v>129</v>
      </c>
      <c r="AE61" s="2">
        <v>323.45</v>
      </c>
      <c r="AH61" s="1"/>
      <c r="AI61" s="1"/>
      <c r="AJ61" s="1"/>
      <c r="AK61" s="1"/>
      <c r="AL61" s="1"/>
      <c r="AM61" s="1"/>
      <c r="AN61" s="1" t="s">
        <v>129</v>
      </c>
      <c r="AO61" s="2">
        <v>134</v>
      </c>
      <c r="AQ61" s="1"/>
      <c r="AR61" s="1"/>
      <c r="AS61" s="1"/>
      <c r="AT61" s="1"/>
      <c r="AU61" s="1"/>
      <c r="AV61" s="1"/>
      <c r="AW61" s="1"/>
      <c r="AX61" s="1" t="s">
        <v>129</v>
      </c>
      <c r="AY61" s="2">
        <v>-67</v>
      </c>
      <c r="BB61" s="1"/>
      <c r="BC61" s="1"/>
      <c r="BD61" s="1"/>
      <c r="BE61" s="1"/>
      <c r="BF61" s="1"/>
      <c r="BG61" s="1"/>
      <c r="BH61" s="1" t="s">
        <v>129</v>
      </c>
      <c r="BI61" s="2">
        <v>0</v>
      </c>
      <c r="BK61" s="1"/>
      <c r="BL61" s="1"/>
      <c r="BM61" s="1"/>
      <c r="BN61" s="1"/>
      <c r="BO61" s="1"/>
      <c r="BP61" s="1"/>
      <c r="BQ61" s="1"/>
      <c r="BR61" s="1" t="s">
        <v>129</v>
      </c>
      <c r="BS61" s="2">
        <v>500</v>
      </c>
      <c r="BV61" s="1"/>
      <c r="BW61" s="1"/>
      <c r="BX61" s="1"/>
      <c r="BY61" s="1"/>
      <c r="BZ61" s="1"/>
      <c r="CA61" s="1"/>
      <c r="CB61" s="1" t="s">
        <v>129</v>
      </c>
      <c r="CC61" s="2">
        <v>500</v>
      </c>
      <c r="CF61" s="1"/>
      <c r="CG61" s="1"/>
      <c r="CH61" s="1"/>
      <c r="CI61" s="1"/>
      <c r="CJ61" s="1"/>
      <c r="CK61" s="1"/>
      <c r="CL61" s="1"/>
      <c r="CM61" s="2"/>
      <c r="CP61" s="1"/>
      <c r="CQ61" s="1"/>
      <c r="CR61" s="1"/>
      <c r="CS61" s="1"/>
      <c r="CT61" s="1"/>
      <c r="CU61" s="1"/>
      <c r="CV61" s="1"/>
      <c r="CW61" s="2"/>
      <c r="CZ61" s="1"/>
      <c r="DA61" s="1"/>
      <c r="DB61" s="1"/>
      <c r="DC61" s="1"/>
      <c r="DD61" s="1"/>
      <c r="DE61" s="1"/>
      <c r="DF61" s="1"/>
      <c r="DG61" s="2"/>
    </row>
    <row r="62" spans="1:111" ht="14.65" customHeight="1" thickBot="1" x14ac:dyDescent="0.3">
      <c r="A62" s="1"/>
      <c r="B62" s="1"/>
      <c r="C62" s="1"/>
      <c r="D62" s="1"/>
      <c r="E62" s="1"/>
      <c r="F62" s="1" t="s">
        <v>47</v>
      </c>
      <c r="G62" s="1"/>
      <c r="H62" s="53"/>
      <c r="I62" s="35"/>
      <c r="J62" s="35"/>
      <c r="K62" s="35"/>
      <c r="L62" s="102"/>
      <c r="M62" s="101"/>
      <c r="N62" s="102"/>
      <c r="O62" s="103"/>
      <c r="P62" s="102"/>
      <c r="Q62" s="102"/>
      <c r="R62" s="103"/>
      <c r="T62" s="1"/>
      <c r="U62" s="2"/>
      <c r="W62" s="1"/>
      <c r="X62" s="1"/>
      <c r="Y62" s="1"/>
      <c r="Z62" s="1"/>
      <c r="AA62" s="1"/>
      <c r="AB62" s="1"/>
      <c r="AC62" s="1"/>
      <c r="AD62" s="1" t="s">
        <v>128</v>
      </c>
      <c r="AE62" s="17">
        <v>406.69</v>
      </c>
      <c r="AH62" s="1"/>
      <c r="AI62" s="1"/>
      <c r="AJ62" s="1"/>
      <c r="AK62" s="1"/>
      <c r="AL62" s="1"/>
      <c r="AM62" s="1"/>
      <c r="AN62" s="1" t="s">
        <v>128</v>
      </c>
      <c r="AO62" s="17">
        <v>0</v>
      </c>
      <c r="AQ62" s="1"/>
      <c r="AR62" s="1"/>
      <c r="AS62" s="1"/>
      <c r="AT62" s="1"/>
      <c r="AU62" s="1"/>
      <c r="AV62" s="1"/>
      <c r="AW62" s="1"/>
      <c r="AX62" s="1" t="s">
        <v>128</v>
      </c>
      <c r="AY62" s="17">
        <v>0</v>
      </c>
      <c r="BB62" s="1"/>
      <c r="BC62" s="1"/>
      <c r="BD62" s="1"/>
      <c r="BE62" s="1"/>
      <c r="BF62" s="1"/>
      <c r="BG62" s="1"/>
      <c r="BH62" s="1" t="s">
        <v>128</v>
      </c>
      <c r="BI62" s="17">
        <v>365.36</v>
      </c>
      <c r="BK62" s="1"/>
      <c r="BL62" s="1"/>
      <c r="BM62" s="1"/>
      <c r="BN62" s="1"/>
      <c r="BO62" s="1"/>
      <c r="BP62" s="1"/>
      <c r="BQ62" s="1"/>
      <c r="BR62" s="1" t="s">
        <v>128</v>
      </c>
      <c r="BS62" s="17">
        <v>600</v>
      </c>
      <c r="BV62" s="1"/>
      <c r="BW62" s="1"/>
      <c r="BX62" s="1"/>
      <c r="BY62" s="1"/>
      <c r="BZ62" s="1"/>
      <c r="CA62" s="1"/>
      <c r="CB62" s="1" t="s">
        <v>128</v>
      </c>
      <c r="CC62" s="17">
        <v>600</v>
      </c>
      <c r="CF62" s="1"/>
      <c r="CG62" s="1"/>
      <c r="CH62" s="1"/>
      <c r="CI62" s="1"/>
      <c r="CJ62" s="1"/>
      <c r="CK62" s="1"/>
      <c r="CL62" s="1"/>
      <c r="CM62" s="2"/>
      <c r="CP62" s="1"/>
      <c r="CQ62" s="1"/>
      <c r="CR62" s="1"/>
      <c r="CS62" s="1"/>
      <c r="CT62" s="1"/>
      <c r="CU62" s="1"/>
      <c r="CV62" s="1"/>
      <c r="CW62" s="2"/>
      <c r="CZ62" s="1"/>
      <c r="DA62" s="1"/>
      <c r="DB62" s="1"/>
      <c r="DC62" s="1"/>
      <c r="DD62" s="1"/>
      <c r="DE62" s="1"/>
      <c r="DF62" s="1"/>
      <c r="DG62" s="2"/>
    </row>
    <row r="63" spans="1:111" ht="14.65" customHeight="1" x14ac:dyDescent="0.25">
      <c r="A63" s="1"/>
      <c r="B63" s="1"/>
      <c r="C63" s="1"/>
      <c r="D63" s="1"/>
      <c r="E63" s="1"/>
      <c r="F63" s="1"/>
      <c r="G63" s="1" t="s">
        <v>48</v>
      </c>
      <c r="H63" s="137">
        <v>8244.5300000000007</v>
      </c>
      <c r="I63" s="198">
        <v>1122.6600000000001</v>
      </c>
      <c r="J63" s="198">
        <v>1108.17</v>
      </c>
      <c r="K63" s="198">
        <v>1094.0899999999999</v>
      </c>
      <c r="L63" s="90">
        <f>SUM(H63:K63)</f>
        <v>11569.45</v>
      </c>
      <c r="M63" s="104">
        <v>71198</v>
      </c>
      <c r="N63" s="92">
        <v>75000</v>
      </c>
      <c r="O63" s="93">
        <f>6571*12</f>
        <v>78852</v>
      </c>
      <c r="P63" s="142">
        <f t="shared" ref="P63:P65" si="38">N63-L63</f>
        <v>63430.55</v>
      </c>
      <c r="Q63" s="131">
        <f>O63-L63</f>
        <v>67282.55</v>
      </c>
      <c r="R63" s="132">
        <f>O63-N63</f>
        <v>3852</v>
      </c>
      <c r="T63" s="32" t="s">
        <v>231</v>
      </c>
      <c r="U63" s="2"/>
      <c r="W63" s="1"/>
      <c r="X63" s="1"/>
      <c r="Y63" s="1"/>
      <c r="Z63" s="1"/>
      <c r="AA63" s="1"/>
      <c r="AB63" s="1"/>
      <c r="AC63" s="1" t="s">
        <v>46</v>
      </c>
      <c r="AD63" s="1"/>
      <c r="AE63" s="2">
        <f>ROUND(SUM(AE54:AE62),5)</f>
        <v>6800.21</v>
      </c>
      <c r="AH63" s="1"/>
      <c r="AI63" s="1"/>
      <c r="AJ63" s="1"/>
      <c r="AK63" s="1"/>
      <c r="AL63" s="1"/>
      <c r="AM63" s="1" t="s">
        <v>46</v>
      </c>
      <c r="AN63" s="1"/>
      <c r="AO63" s="2">
        <f>ROUND(SUM(AO54:AO62),5)</f>
        <v>562.54</v>
      </c>
      <c r="AQ63" s="1"/>
      <c r="AR63" s="1"/>
      <c r="AS63" s="1"/>
      <c r="AT63" s="1"/>
      <c r="AU63" s="1"/>
      <c r="AV63" s="1"/>
      <c r="AW63" s="1" t="s">
        <v>46</v>
      </c>
      <c r="AX63" s="1"/>
      <c r="AY63" s="2">
        <f>ROUND(SUM(AY54:AY62),5)</f>
        <v>280.61</v>
      </c>
      <c r="BB63" s="1"/>
      <c r="BC63" s="1"/>
      <c r="BD63" s="1"/>
      <c r="BE63" s="1"/>
      <c r="BF63" s="1"/>
      <c r="BG63" s="1" t="s">
        <v>46</v>
      </c>
      <c r="BH63" s="1"/>
      <c r="BI63" s="2">
        <f>ROUND(SUM(BI54:BI62),5)</f>
        <v>925.07</v>
      </c>
      <c r="BK63" s="1"/>
      <c r="BL63" s="1"/>
      <c r="BM63" s="1"/>
      <c r="BN63" s="1"/>
      <c r="BO63" s="1"/>
      <c r="BP63" s="1"/>
      <c r="BQ63" s="1" t="s">
        <v>46</v>
      </c>
      <c r="BR63" s="1"/>
      <c r="BS63" s="2">
        <f>ROUND(SUM(BS54:BS62),5)</f>
        <v>10500</v>
      </c>
      <c r="BV63" s="1"/>
      <c r="BW63" s="1"/>
      <c r="BX63" s="1"/>
      <c r="BY63" s="1"/>
      <c r="BZ63" s="1"/>
      <c r="CA63" s="1" t="s">
        <v>46</v>
      </c>
      <c r="CB63" s="1"/>
      <c r="CC63" s="2">
        <f>ROUND(SUM(CC54:CC62),5)</f>
        <v>10000</v>
      </c>
      <c r="CF63" s="1"/>
      <c r="CG63" s="1"/>
      <c r="CH63" s="1"/>
      <c r="CI63" s="1"/>
      <c r="CJ63" s="1"/>
      <c r="CK63" s="1"/>
      <c r="CL63" s="1"/>
      <c r="CM63" s="2"/>
      <c r="CP63" s="1"/>
      <c r="CQ63" s="1"/>
      <c r="CR63" s="1"/>
      <c r="CS63" s="1"/>
      <c r="CT63" s="1"/>
      <c r="CU63" s="1"/>
      <c r="CV63" s="1"/>
      <c r="CW63" s="2"/>
      <c r="CZ63" s="1"/>
      <c r="DA63" s="1"/>
      <c r="DB63" s="1"/>
      <c r="DC63" s="1"/>
      <c r="DD63" s="1"/>
      <c r="DE63" s="1"/>
      <c r="DF63" s="1"/>
      <c r="DG63" s="2"/>
    </row>
    <row r="64" spans="1:111" ht="14.65" customHeight="1" x14ac:dyDescent="0.25">
      <c r="A64" s="1"/>
      <c r="B64" s="1"/>
      <c r="C64" s="1"/>
      <c r="D64" s="1"/>
      <c r="E64" s="1"/>
      <c r="F64" s="1"/>
      <c r="G64" s="1" t="s">
        <v>102</v>
      </c>
      <c r="H64" s="137">
        <v>39220.67</v>
      </c>
      <c r="I64" s="198">
        <v>5487.65</v>
      </c>
      <c r="J64" s="198">
        <v>5462.45</v>
      </c>
      <c r="K64" s="198">
        <v>5476.53</v>
      </c>
      <c r="L64" s="90">
        <f>SUM(H64:K64)</f>
        <v>55647.299999999996</v>
      </c>
      <c r="M64" s="104"/>
      <c r="N64" s="92"/>
      <c r="O64" s="93"/>
      <c r="P64" s="142">
        <f t="shared" si="38"/>
        <v>-55647.299999999996</v>
      </c>
      <c r="Q64" s="131"/>
      <c r="R64" s="132"/>
      <c r="T64" s="32" t="s">
        <v>232</v>
      </c>
      <c r="U64" s="2"/>
      <c r="W64" s="1"/>
      <c r="X64" s="1"/>
      <c r="Y64" s="1"/>
      <c r="Z64" s="1"/>
      <c r="AA64" s="1"/>
      <c r="AB64" s="1"/>
      <c r="AC64" s="1" t="s">
        <v>47</v>
      </c>
      <c r="AD64" s="1"/>
      <c r="AE64" s="2"/>
      <c r="AH64" s="1"/>
      <c r="AI64" s="1"/>
      <c r="AJ64" s="1"/>
      <c r="AK64" s="1"/>
      <c r="AL64" s="1"/>
      <c r="AM64" s="1" t="s">
        <v>47</v>
      </c>
      <c r="AN64" s="1"/>
      <c r="AO64" s="2"/>
      <c r="AQ64" s="1"/>
      <c r="AR64" s="1"/>
      <c r="AS64" s="1"/>
      <c r="AT64" s="1"/>
      <c r="AU64" s="1"/>
      <c r="AV64" s="1"/>
      <c r="AW64" s="1" t="s">
        <v>47</v>
      </c>
      <c r="AX64" s="1"/>
      <c r="AY64" s="2"/>
      <c r="BB64" s="1"/>
      <c r="BC64" s="1"/>
      <c r="BD64" s="1"/>
      <c r="BE64" s="1"/>
      <c r="BF64" s="1"/>
      <c r="BG64" s="1" t="s">
        <v>47</v>
      </c>
      <c r="BH64" s="1"/>
      <c r="BI64" s="2"/>
      <c r="BK64" s="1"/>
      <c r="BL64" s="1"/>
      <c r="BM64" s="1"/>
      <c r="BN64" s="1"/>
      <c r="BO64" s="1"/>
      <c r="BP64" s="1"/>
      <c r="BQ64" s="1" t="s">
        <v>47</v>
      </c>
      <c r="BR64" s="1"/>
      <c r="BS64" s="2"/>
      <c r="BV64" s="1"/>
      <c r="BW64" s="1"/>
      <c r="BX64" s="1"/>
      <c r="BY64" s="1"/>
      <c r="BZ64" s="1"/>
      <c r="CA64" s="1" t="s">
        <v>47</v>
      </c>
      <c r="CB64" s="1"/>
      <c r="CC64" s="2"/>
      <c r="CF64" s="1"/>
      <c r="CG64" s="1"/>
      <c r="CH64" s="1"/>
      <c r="CI64" s="1"/>
      <c r="CJ64" s="1"/>
      <c r="CK64" s="1"/>
      <c r="CL64" s="1"/>
      <c r="CM64" s="2"/>
      <c r="CP64" s="1"/>
      <c r="CQ64" s="1"/>
      <c r="CR64" s="1"/>
      <c r="CS64" s="1"/>
      <c r="CT64" s="1"/>
      <c r="CU64" s="1"/>
      <c r="CV64" s="1"/>
      <c r="CW64" s="2"/>
      <c r="CZ64" s="1"/>
      <c r="DA64" s="1"/>
      <c r="DB64" s="1"/>
      <c r="DC64" s="1"/>
      <c r="DD64" s="1"/>
      <c r="DE64" s="1"/>
      <c r="DF64" s="1"/>
      <c r="DG64" s="2"/>
    </row>
    <row r="65" spans="1:111" ht="14.65" customHeight="1" thickBot="1" x14ac:dyDescent="0.3">
      <c r="A65" s="1"/>
      <c r="B65" s="69"/>
      <c r="C65" s="69"/>
      <c r="D65" s="69"/>
      <c r="E65" s="69"/>
      <c r="F65" s="69"/>
      <c r="G65" s="70" t="s">
        <v>103</v>
      </c>
      <c r="H65" s="137">
        <v>2172.34</v>
      </c>
      <c r="I65" s="198">
        <v>2</v>
      </c>
      <c r="J65" s="198">
        <v>45.12</v>
      </c>
      <c r="K65" s="198">
        <v>43.3</v>
      </c>
      <c r="L65" s="94">
        <f t="shared" ref="L65" si="39">SUM(H65:K65)</f>
        <v>2262.7600000000002</v>
      </c>
      <c r="M65" s="104">
        <v>500</v>
      </c>
      <c r="N65" s="92">
        <v>0</v>
      </c>
      <c r="O65" s="93">
        <f>600-137</f>
        <v>463</v>
      </c>
      <c r="P65" s="143">
        <f t="shared" si="38"/>
        <v>-2262.7600000000002</v>
      </c>
      <c r="Q65" s="133">
        <f>O65-L65</f>
        <v>-1799.7600000000002</v>
      </c>
      <c r="R65" s="134">
        <f>O65-N65</f>
        <v>463</v>
      </c>
      <c r="T65" s="32" t="s">
        <v>233</v>
      </c>
      <c r="U65" s="2"/>
      <c r="W65" s="1"/>
      <c r="X65" s="1"/>
      <c r="Y65" s="1"/>
      <c r="Z65" s="1"/>
      <c r="AA65" s="1"/>
      <c r="AB65" s="1"/>
      <c r="AC65" s="1"/>
      <c r="AD65" s="1" t="s">
        <v>48</v>
      </c>
      <c r="AE65" s="2">
        <v>8244.5300000000007</v>
      </c>
      <c r="AH65" s="1"/>
      <c r="AI65" s="1"/>
      <c r="AJ65" s="1"/>
      <c r="AK65" s="1"/>
      <c r="AL65" s="1"/>
      <c r="AM65" s="1"/>
      <c r="AN65" s="1" t="s">
        <v>48</v>
      </c>
      <c r="AO65" s="2">
        <v>1122.6600000000001</v>
      </c>
      <c r="AQ65" s="1"/>
      <c r="AR65" s="1"/>
      <c r="AS65" s="1"/>
      <c r="AT65" s="1"/>
      <c r="AU65" s="1"/>
      <c r="AV65" s="1"/>
      <c r="AW65" s="1"/>
      <c r="AX65" s="1" t="s">
        <v>48</v>
      </c>
      <c r="AY65" s="2">
        <v>1108.17</v>
      </c>
      <c r="BB65" s="1"/>
      <c r="BC65" s="1"/>
      <c r="BD65" s="1"/>
      <c r="BE65" s="1"/>
      <c r="BF65" s="1"/>
      <c r="BG65" s="1"/>
      <c r="BH65" s="1" t="s">
        <v>48</v>
      </c>
      <c r="BI65" s="2">
        <v>1094.0899999999999</v>
      </c>
      <c r="BK65" s="1"/>
      <c r="BL65" s="1"/>
      <c r="BM65" s="1"/>
      <c r="BN65" s="1"/>
      <c r="BO65" s="1"/>
      <c r="BP65" s="1"/>
      <c r="BQ65" s="1"/>
      <c r="BR65" s="1" t="s">
        <v>48</v>
      </c>
      <c r="BS65" s="2">
        <v>71198</v>
      </c>
      <c r="BV65" s="1"/>
      <c r="BW65" s="1"/>
      <c r="BX65" s="1"/>
      <c r="BY65" s="1"/>
      <c r="BZ65" s="1"/>
      <c r="CA65" s="1"/>
      <c r="CB65" s="1" t="s">
        <v>48</v>
      </c>
      <c r="CC65" s="2">
        <v>75000</v>
      </c>
      <c r="CF65" s="1"/>
      <c r="CG65" s="1"/>
      <c r="CH65" s="1"/>
      <c r="CI65" s="1"/>
      <c r="CJ65" s="1"/>
      <c r="CK65" s="1"/>
      <c r="CL65" s="1"/>
      <c r="CM65" s="2"/>
      <c r="CP65" s="1"/>
      <c r="CQ65" s="1"/>
      <c r="CR65" s="1"/>
      <c r="CS65" s="1"/>
      <c r="CT65" s="1"/>
      <c r="CU65" s="1"/>
      <c r="CV65" s="1"/>
      <c r="CW65" s="2"/>
      <c r="CZ65" s="1"/>
      <c r="DA65" s="1"/>
      <c r="DB65" s="1"/>
      <c r="DC65" s="1"/>
      <c r="DD65" s="1"/>
      <c r="DE65" s="1"/>
      <c r="DF65" s="1"/>
      <c r="DG65" s="2"/>
    </row>
    <row r="66" spans="1:111" ht="14.65" customHeight="1" thickBot="1" x14ac:dyDescent="0.3">
      <c r="A66" s="1"/>
      <c r="B66" s="71"/>
      <c r="C66" s="71"/>
      <c r="D66" s="71"/>
      <c r="E66" s="71"/>
      <c r="F66" s="71" t="s">
        <v>49</v>
      </c>
      <c r="G66" s="72"/>
      <c r="H66" s="55">
        <f>ROUND(SUM(H62:H65),5)</f>
        <v>49637.54</v>
      </c>
      <c r="I66" s="37">
        <f t="shared" ref="I66:R66" si="40">ROUND(SUM(I62:I65),5)</f>
        <v>6612.31</v>
      </c>
      <c r="J66" s="37">
        <f t="shared" si="40"/>
        <v>6615.74</v>
      </c>
      <c r="K66" s="37">
        <f t="shared" ref="K66" si="41">ROUND(SUM(K62:K65),5)</f>
        <v>6613.92</v>
      </c>
      <c r="L66" s="112">
        <f t="shared" si="40"/>
        <v>69479.509999999995</v>
      </c>
      <c r="M66" s="111">
        <f t="shared" si="40"/>
        <v>71698</v>
      </c>
      <c r="N66" s="112">
        <f t="shared" si="40"/>
        <v>75000</v>
      </c>
      <c r="O66" s="113">
        <f t="shared" si="40"/>
        <v>79315</v>
      </c>
      <c r="P66" s="112">
        <f>ROUND(SUM(P62:P65),5)</f>
        <v>5520.49</v>
      </c>
      <c r="Q66" s="112">
        <f t="shared" si="40"/>
        <v>65482.79</v>
      </c>
      <c r="R66" s="113">
        <f t="shared" si="40"/>
        <v>4315</v>
      </c>
      <c r="T66" s="1"/>
      <c r="U66" s="2"/>
      <c r="W66" s="1"/>
      <c r="X66" s="1"/>
      <c r="Y66" s="1"/>
      <c r="Z66" s="1"/>
      <c r="AA66" s="1"/>
      <c r="AB66" s="1"/>
      <c r="AC66" s="1"/>
      <c r="AD66" s="1" t="s">
        <v>149</v>
      </c>
      <c r="AE66" s="2">
        <v>2172.34</v>
      </c>
      <c r="AH66" s="1"/>
      <c r="AI66" s="1"/>
      <c r="AJ66" s="1"/>
      <c r="AK66" s="1"/>
      <c r="AL66" s="1"/>
      <c r="AM66" s="1"/>
      <c r="AN66" s="1" t="s">
        <v>149</v>
      </c>
      <c r="AO66" s="2">
        <v>2</v>
      </c>
      <c r="AQ66" s="1"/>
      <c r="AR66" s="1"/>
      <c r="AS66" s="1"/>
      <c r="AT66" s="1"/>
      <c r="AU66" s="1"/>
      <c r="AV66" s="1"/>
      <c r="AW66" s="1"/>
      <c r="AX66" s="1" t="s">
        <v>149</v>
      </c>
      <c r="AY66" s="2">
        <v>45.12</v>
      </c>
      <c r="BB66" s="1"/>
      <c r="BC66" s="1"/>
      <c r="BD66" s="1"/>
      <c r="BE66" s="1"/>
      <c r="BF66" s="1"/>
      <c r="BG66" s="1"/>
      <c r="BH66" s="1" t="s">
        <v>149</v>
      </c>
      <c r="BI66" s="2">
        <v>43.3</v>
      </c>
      <c r="BK66" s="1"/>
      <c r="BL66" s="1"/>
      <c r="BM66" s="1"/>
      <c r="BN66" s="1"/>
      <c r="BO66" s="1"/>
      <c r="BP66" s="1"/>
      <c r="BQ66" s="1"/>
      <c r="BR66" s="1" t="s">
        <v>149</v>
      </c>
      <c r="BS66" s="2">
        <v>500</v>
      </c>
      <c r="BV66" s="1"/>
      <c r="BW66" s="1"/>
      <c r="BX66" s="1"/>
      <c r="BY66" s="1"/>
      <c r="BZ66" s="1"/>
      <c r="CA66" s="1"/>
      <c r="CB66" s="1" t="s">
        <v>149</v>
      </c>
      <c r="CC66" s="2">
        <v>0</v>
      </c>
      <c r="CF66" s="1"/>
      <c r="CG66" s="1"/>
      <c r="CH66" s="1"/>
      <c r="CI66" s="1"/>
      <c r="CJ66" s="1"/>
      <c r="CK66" s="1"/>
      <c r="CL66" s="1"/>
      <c r="CM66" s="2"/>
      <c r="CP66" s="1"/>
      <c r="CQ66" s="1"/>
      <c r="CR66" s="1"/>
      <c r="CS66" s="1"/>
      <c r="CT66" s="1"/>
      <c r="CU66" s="1"/>
      <c r="CV66" s="1"/>
      <c r="CW66" s="2"/>
      <c r="CZ66" s="1"/>
      <c r="DA66" s="1"/>
      <c r="DB66" s="1"/>
      <c r="DC66" s="1"/>
      <c r="DD66" s="1"/>
      <c r="DE66" s="1"/>
      <c r="DF66" s="1"/>
      <c r="DG66" s="2"/>
    </row>
    <row r="67" spans="1:111" ht="14.65" customHeight="1" thickBot="1" x14ac:dyDescent="0.3">
      <c r="A67" s="1"/>
      <c r="B67" s="75"/>
      <c r="C67" s="75"/>
      <c r="D67" s="75"/>
      <c r="E67" s="75" t="s">
        <v>50</v>
      </c>
      <c r="F67" s="75"/>
      <c r="G67" s="76"/>
      <c r="H67" s="56">
        <f>ROUND(H18+H36+H46+H51+H61+H66,5)</f>
        <v>317383.69</v>
      </c>
      <c r="I67" s="38">
        <f t="shared" ref="I67:R67" si="42">ROUND(I18+I36+I46+I51+I61+I66,5)</f>
        <v>39312.33</v>
      </c>
      <c r="J67" s="38">
        <f t="shared" si="42"/>
        <v>53672.82</v>
      </c>
      <c r="K67" s="38">
        <f t="shared" ref="K67" si="43">ROUND(K18+K36+K46+K51+K61+K66,5)</f>
        <v>45189.59</v>
      </c>
      <c r="L67" s="115">
        <f t="shared" si="42"/>
        <v>455558.43</v>
      </c>
      <c r="M67" s="114">
        <f t="shared" si="42"/>
        <v>586697</v>
      </c>
      <c r="N67" s="115">
        <f t="shared" si="42"/>
        <v>571798</v>
      </c>
      <c r="O67" s="116">
        <f t="shared" si="42"/>
        <v>573000</v>
      </c>
      <c r="P67" s="115">
        <f>ROUND(P18+P36+P46+P51+P61+P66,5)</f>
        <v>116239.57</v>
      </c>
      <c r="Q67" s="115">
        <f t="shared" si="42"/>
        <v>173088.87</v>
      </c>
      <c r="R67" s="116">
        <f t="shared" si="42"/>
        <v>1202</v>
      </c>
      <c r="T67" s="1"/>
      <c r="U67" s="2"/>
      <c r="W67" s="1"/>
      <c r="X67" s="1"/>
      <c r="Y67" s="1"/>
      <c r="Z67" s="1"/>
      <c r="AA67" s="1"/>
      <c r="AB67" s="1"/>
      <c r="AC67" s="1" t="s">
        <v>49</v>
      </c>
      <c r="AD67" s="1"/>
      <c r="AE67" s="21">
        <f>ROUND(SUM(AE64:AE66),5)</f>
        <v>10416.870000000001</v>
      </c>
      <c r="AH67" s="1"/>
      <c r="AI67" s="1"/>
      <c r="AJ67" s="1"/>
      <c r="AK67" s="1"/>
      <c r="AL67" s="1"/>
      <c r="AM67" s="1" t="s">
        <v>49</v>
      </c>
      <c r="AN67" s="1"/>
      <c r="AO67" s="21">
        <f>ROUND(SUM(AO64:AO66),5)</f>
        <v>1124.6600000000001</v>
      </c>
      <c r="AQ67" s="1"/>
      <c r="AR67" s="1"/>
      <c r="AS67" s="1"/>
      <c r="AT67" s="1"/>
      <c r="AU67" s="1"/>
      <c r="AV67" s="1"/>
      <c r="AW67" s="1" t="s">
        <v>49</v>
      </c>
      <c r="AX67" s="1"/>
      <c r="AY67" s="21">
        <f>ROUND(SUM(AY64:AY66),5)</f>
        <v>1153.29</v>
      </c>
      <c r="BB67" s="1"/>
      <c r="BC67" s="1"/>
      <c r="BD67" s="1"/>
      <c r="BE67" s="1"/>
      <c r="BF67" s="1"/>
      <c r="BG67" s="1" t="s">
        <v>49</v>
      </c>
      <c r="BH67" s="1"/>
      <c r="BI67" s="21">
        <f>ROUND(SUM(BI64:BI66),5)</f>
        <v>1137.3900000000001</v>
      </c>
      <c r="BK67" s="1"/>
      <c r="BL67" s="1"/>
      <c r="BM67" s="1"/>
      <c r="BN67" s="1"/>
      <c r="BO67" s="1"/>
      <c r="BP67" s="1"/>
      <c r="BQ67" s="1" t="s">
        <v>49</v>
      </c>
      <c r="BR67" s="1"/>
      <c r="BS67" s="21">
        <f>ROUND(SUM(BS64:BS66),5)</f>
        <v>71698</v>
      </c>
      <c r="BV67" s="1"/>
      <c r="BW67" s="1"/>
      <c r="BX67" s="1"/>
      <c r="BY67" s="1"/>
      <c r="BZ67" s="1"/>
      <c r="CA67" s="1" t="s">
        <v>49</v>
      </c>
      <c r="CB67" s="1"/>
      <c r="CC67" s="21">
        <f>ROUND(SUM(CC64:CC66),5)</f>
        <v>75000</v>
      </c>
      <c r="CF67" s="1"/>
      <c r="CG67" s="1"/>
      <c r="CH67" s="1"/>
      <c r="CI67" s="1"/>
      <c r="CJ67" s="1"/>
      <c r="CK67" s="1"/>
      <c r="CL67" s="1"/>
      <c r="CM67" s="2"/>
      <c r="CP67" s="1"/>
      <c r="CQ67" s="1"/>
      <c r="CR67" s="1"/>
      <c r="CS67" s="1"/>
      <c r="CT67" s="1"/>
      <c r="CU67" s="1"/>
      <c r="CV67" s="1"/>
      <c r="CW67" s="2"/>
      <c r="CZ67" s="1"/>
      <c r="DA67" s="1"/>
      <c r="DB67" s="1"/>
      <c r="DC67" s="1"/>
      <c r="DD67" s="1"/>
      <c r="DE67" s="1"/>
      <c r="DF67" s="1"/>
      <c r="DG67" s="2"/>
    </row>
    <row r="68" spans="1:111" ht="24.75" customHeight="1" x14ac:dyDescent="0.25">
      <c r="A68" s="1"/>
      <c r="B68" s="1"/>
      <c r="C68" s="1"/>
      <c r="D68" s="1"/>
      <c r="E68" s="1" t="s">
        <v>51</v>
      </c>
      <c r="F68" s="1"/>
      <c r="G68" s="1"/>
      <c r="H68" s="53"/>
      <c r="I68" s="35"/>
      <c r="J68" s="35"/>
      <c r="K68" s="35"/>
      <c r="L68" s="102"/>
      <c r="M68" s="101"/>
      <c r="N68" s="102"/>
      <c r="O68" s="103"/>
      <c r="P68" s="102"/>
      <c r="Q68" s="102"/>
      <c r="R68" s="103"/>
      <c r="T68" s="1"/>
      <c r="U68" s="2"/>
      <c r="W68" s="1"/>
      <c r="X68" s="1"/>
      <c r="Y68" s="1"/>
      <c r="Z68" s="1"/>
      <c r="AA68" s="1"/>
      <c r="AB68" s="1" t="s">
        <v>50</v>
      </c>
      <c r="AC68" s="1"/>
      <c r="AD68" s="1"/>
      <c r="AE68" s="2">
        <f>ROUND(AE19+AE37+AE48+AE53+AE63+AE67,5)</f>
        <v>278163.02</v>
      </c>
      <c r="AH68" s="1"/>
      <c r="AI68" s="1"/>
      <c r="AJ68" s="1"/>
      <c r="AK68" s="1"/>
      <c r="AL68" s="1" t="s">
        <v>50</v>
      </c>
      <c r="AM68" s="1"/>
      <c r="AN68" s="1"/>
      <c r="AO68" s="2">
        <f>ROUND(AO19+AO37+AO48+AO53+AO63+AO67,5)</f>
        <v>26538.21</v>
      </c>
      <c r="AQ68" s="1"/>
      <c r="AR68" s="1"/>
      <c r="AS68" s="1"/>
      <c r="AT68" s="1"/>
      <c r="AU68" s="1"/>
      <c r="AV68" s="1" t="s">
        <v>50</v>
      </c>
      <c r="AW68" s="1"/>
      <c r="AX68" s="1"/>
      <c r="AY68" s="2">
        <f>ROUND(AY19+AY37+AY48+AY53+AY63+AY67,5)</f>
        <v>45690.49</v>
      </c>
      <c r="BB68" s="1"/>
      <c r="BC68" s="1"/>
      <c r="BD68" s="1"/>
      <c r="BE68" s="1"/>
      <c r="BF68" s="1" t="s">
        <v>50</v>
      </c>
      <c r="BG68" s="1"/>
      <c r="BH68" s="1"/>
      <c r="BI68" s="2">
        <f>ROUND(BI19+BI37+BI48+BI53+BI63+BI67,5)</f>
        <v>35636.839999999997</v>
      </c>
      <c r="BK68" s="1"/>
      <c r="BL68" s="1"/>
      <c r="BM68" s="1"/>
      <c r="BN68" s="1"/>
      <c r="BO68" s="1"/>
      <c r="BP68" s="1" t="s">
        <v>50</v>
      </c>
      <c r="BQ68" s="1"/>
      <c r="BR68" s="1"/>
      <c r="BS68" s="2">
        <f>ROUND(BS19+BS37+BS48+BS53+BS63+BS67,5)</f>
        <v>586697</v>
      </c>
      <c r="BV68" s="1"/>
      <c r="BW68" s="1"/>
      <c r="BX68" s="1"/>
      <c r="BY68" s="1"/>
      <c r="BZ68" s="1" t="s">
        <v>50</v>
      </c>
      <c r="CA68" s="1"/>
      <c r="CB68" s="1"/>
      <c r="CC68" s="2">
        <f>ROUND(CC19+CC37+CC48+CC53+CC63+CC67,5)</f>
        <v>571798</v>
      </c>
      <c r="CF68" s="1"/>
      <c r="CG68" s="1"/>
      <c r="CH68" s="1"/>
      <c r="CI68" s="1"/>
      <c r="CJ68" s="1"/>
      <c r="CK68" s="1"/>
      <c r="CL68" s="1"/>
      <c r="CM68" s="2"/>
      <c r="CP68" s="1"/>
      <c r="CQ68" s="1"/>
      <c r="CR68" s="1"/>
      <c r="CS68" s="1"/>
      <c r="CT68" s="1"/>
      <c r="CU68" s="1"/>
      <c r="CV68" s="1"/>
      <c r="CW68" s="2"/>
      <c r="CZ68" s="1"/>
      <c r="DA68" s="1"/>
      <c r="DB68" s="1"/>
      <c r="DC68" s="1"/>
      <c r="DD68" s="1"/>
      <c r="DE68" s="1"/>
      <c r="DF68" s="1"/>
      <c r="DG68" s="2"/>
    </row>
    <row r="69" spans="1:111" ht="14.65" customHeight="1" x14ac:dyDescent="0.25">
      <c r="A69" s="1"/>
      <c r="B69" s="1"/>
      <c r="C69" s="1"/>
      <c r="D69" s="1"/>
      <c r="E69" s="1"/>
      <c r="F69" s="1" t="s">
        <v>52</v>
      </c>
      <c r="G69" s="1"/>
      <c r="H69" s="53"/>
      <c r="I69" s="35"/>
      <c r="J69" s="35"/>
      <c r="K69" s="35"/>
      <c r="L69" s="102"/>
      <c r="M69" s="101"/>
      <c r="N69" s="102"/>
      <c r="O69" s="103"/>
      <c r="P69" s="102"/>
      <c r="Q69" s="102"/>
      <c r="R69" s="103"/>
      <c r="T69" s="1"/>
      <c r="U69" s="2"/>
      <c r="W69" s="1"/>
      <c r="X69" s="1"/>
      <c r="Y69" s="1"/>
      <c r="Z69" s="1"/>
      <c r="AA69" s="1"/>
      <c r="AB69" s="1" t="s">
        <v>51</v>
      </c>
      <c r="AC69" s="1"/>
      <c r="AD69" s="1"/>
      <c r="AE69" s="2"/>
      <c r="AH69" s="1"/>
      <c r="AI69" s="1"/>
      <c r="AJ69" s="1"/>
      <c r="AK69" s="1"/>
      <c r="AL69" s="1" t="s">
        <v>51</v>
      </c>
      <c r="AM69" s="1"/>
      <c r="AN69" s="1"/>
      <c r="AO69" s="2"/>
      <c r="AQ69" s="1"/>
      <c r="AR69" s="1"/>
      <c r="AS69" s="1"/>
      <c r="AT69" s="1"/>
      <c r="AU69" s="1"/>
      <c r="AV69" s="1" t="s">
        <v>51</v>
      </c>
      <c r="AW69" s="1"/>
      <c r="AX69" s="1"/>
      <c r="AY69" s="2"/>
      <c r="BB69" s="1"/>
      <c r="BC69" s="1"/>
      <c r="BD69" s="1"/>
      <c r="BE69" s="1"/>
      <c r="BF69" s="1" t="s">
        <v>51</v>
      </c>
      <c r="BG69" s="1"/>
      <c r="BH69" s="1"/>
      <c r="BI69" s="2"/>
      <c r="BK69" s="1"/>
      <c r="BL69" s="1"/>
      <c r="BM69" s="1"/>
      <c r="BN69" s="1"/>
      <c r="BO69" s="1"/>
      <c r="BP69" s="1" t="s">
        <v>51</v>
      </c>
      <c r="BQ69" s="1"/>
      <c r="BR69" s="1"/>
      <c r="BS69" s="2"/>
      <c r="BV69" s="1"/>
      <c r="BW69" s="1"/>
      <c r="BX69" s="1"/>
      <c r="BY69" s="1"/>
      <c r="BZ69" s="1" t="s">
        <v>51</v>
      </c>
      <c r="CA69" s="1"/>
      <c r="CB69" s="1"/>
      <c r="CC69" s="2"/>
      <c r="CF69" s="1"/>
      <c r="CG69" s="1"/>
      <c r="CH69" s="1"/>
      <c r="CI69" s="1"/>
      <c r="CJ69" s="1"/>
      <c r="CK69" s="1"/>
      <c r="CL69" s="1"/>
      <c r="CM69" s="2"/>
      <c r="CP69" s="1"/>
      <c r="CQ69" s="1"/>
      <c r="CR69" s="1"/>
      <c r="CS69" s="1"/>
      <c r="CT69" s="1"/>
      <c r="CU69" s="1"/>
      <c r="CV69" s="1"/>
      <c r="CW69" s="2"/>
      <c r="CZ69" s="1"/>
      <c r="DA69" s="1"/>
      <c r="DB69" s="1"/>
      <c r="DC69" s="1"/>
      <c r="DD69" s="1"/>
      <c r="DE69" s="1"/>
      <c r="DF69" s="1"/>
      <c r="DG69" s="2"/>
    </row>
    <row r="70" spans="1:111" ht="14.65" customHeight="1" thickBot="1" x14ac:dyDescent="0.3">
      <c r="A70" s="1"/>
      <c r="B70" s="69"/>
      <c r="C70" s="69"/>
      <c r="D70" s="69"/>
      <c r="E70" s="69"/>
      <c r="F70" s="69"/>
      <c r="G70" s="70" t="s">
        <v>53</v>
      </c>
      <c r="H70" s="138">
        <v>135.52000000000001</v>
      </c>
      <c r="I70" s="200">
        <v>10</v>
      </c>
      <c r="J70" s="200">
        <v>0</v>
      </c>
      <c r="K70" s="200">
        <v>0</v>
      </c>
      <c r="L70" s="117">
        <f>SUM(H70:K70)</f>
        <v>145.52000000000001</v>
      </c>
      <c r="M70" s="105">
        <v>1800</v>
      </c>
      <c r="N70" s="106">
        <v>1000</v>
      </c>
      <c r="O70" s="107">
        <v>500</v>
      </c>
      <c r="P70" s="143">
        <f t="shared" ref="P70" si="44">N70-L70</f>
        <v>854.48</v>
      </c>
      <c r="Q70" s="133">
        <f>O70-L70</f>
        <v>354.48</v>
      </c>
      <c r="R70" s="134">
        <f>O70-N70</f>
        <v>-500</v>
      </c>
      <c r="T70" s="1"/>
      <c r="U70" s="2"/>
      <c r="W70" s="1"/>
      <c r="X70" s="1"/>
      <c r="Y70" s="1"/>
      <c r="Z70" s="1"/>
      <c r="AA70" s="1"/>
      <c r="AB70" s="1"/>
      <c r="AC70" s="1" t="s">
        <v>52</v>
      </c>
      <c r="AD70" s="1"/>
      <c r="AE70" s="2"/>
      <c r="AH70" s="1"/>
      <c r="AI70" s="1"/>
      <c r="AJ70" s="1"/>
      <c r="AK70" s="1"/>
      <c r="AL70" s="1"/>
      <c r="AM70" s="1" t="s">
        <v>52</v>
      </c>
      <c r="AN70" s="1"/>
      <c r="AO70" s="2"/>
      <c r="AQ70" s="1"/>
      <c r="AR70" s="1"/>
      <c r="AS70" s="1"/>
      <c r="AT70" s="1"/>
      <c r="AU70" s="1"/>
      <c r="AV70" s="1"/>
      <c r="AW70" s="1" t="s">
        <v>52</v>
      </c>
      <c r="AX70" s="1"/>
      <c r="AY70" s="2"/>
      <c r="BB70" s="1"/>
      <c r="BC70" s="1"/>
      <c r="BD70" s="1"/>
      <c r="BE70" s="1"/>
      <c r="BF70" s="1"/>
      <c r="BG70" s="1" t="s">
        <v>52</v>
      </c>
      <c r="BH70" s="1"/>
      <c r="BI70" s="2"/>
      <c r="BK70" s="1"/>
      <c r="BL70" s="1"/>
      <c r="BM70" s="1"/>
      <c r="BN70" s="1"/>
      <c r="BO70" s="1"/>
      <c r="BP70" s="1"/>
      <c r="BQ70" s="1" t="s">
        <v>52</v>
      </c>
      <c r="BR70" s="1"/>
      <c r="BS70" s="2"/>
      <c r="BV70" s="1"/>
      <c r="BW70" s="1"/>
      <c r="BX70" s="1"/>
      <c r="BY70" s="1"/>
      <c r="BZ70" s="1"/>
      <c r="CA70" s="1" t="s">
        <v>52</v>
      </c>
      <c r="CB70" s="1"/>
      <c r="CC70" s="2"/>
      <c r="CF70" s="1"/>
      <c r="CG70" s="1"/>
      <c r="CH70" s="1"/>
      <c r="CI70" s="1"/>
      <c r="CJ70" s="1"/>
      <c r="CK70" s="1"/>
      <c r="CL70" s="1"/>
      <c r="CM70" s="2"/>
      <c r="CP70" s="1"/>
      <c r="CQ70" s="1"/>
      <c r="CR70" s="1"/>
      <c r="CS70" s="1"/>
      <c r="CT70" s="1"/>
      <c r="CU70" s="1"/>
      <c r="CV70" s="1"/>
      <c r="CW70" s="2"/>
      <c r="CZ70" s="1"/>
      <c r="DA70" s="1"/>
      <c r="DB70" s="1"/>
      <c r="DC70" s="1"/>
      <c r="DD70" s="1"/>
      <c r="DE70" s="1"/>
      <c r="DF70" s="1"/>
      <c r="DG70" s="2"/>
    </row>
    <row r="71" spans="1:111" ht="14.65" customHeight="1" thickBot="1" x14ac:dyDescent="0.3">
      <c r="A71" s="1"/>
      <c r="B71" s="18"/>
      <c r="C71" s="18"/>
      <c r="D71" s="18"/>
      <c r="E71" s="18"/>
      <c r="F71" s="18" t="s">
        <v>54</v>
      </c>
      <c r="G71" s="18"/>
      <c r="H71" s="54">
        <f>ROUND(SUM(H69:H70),5)</f>
        <v>135.52000000000001</v>
      </c>
      <c r="I71" s="36">
        <f t="shared" ref="I71:R71" si="45">ROUND(SUM(I69:I70),5)</f>
        <v>10</v>
      </c>
      <c r="J71" s="36">
        <f t="shared" si="45"/>
        <v>0</v>
      </c>
      <c r="K71" s="36">
        <f t="shared" ref="K71" si="46">ROUND(SUM(K69:K70),5)</f>
        <v>0</v>
      </c>
      <c r="L71" s="109">
        <f t="shared" si="45"/>
        <v>145.52000000000001</v>
      </c>
      <c r="M71" s="108">
        <f t="shared" si="45"/>
        <v>1800</v>
      </c>
      <c r="N71" s="109">
        <f t="shared" si="45"/>
        <v>1000</v>
      </c>
      <c r="O71" s="97">
        <f t="shared" si="45"/>
        <v>500</v>
      </c>
      <c r="P71" s="109">
        <f t="shared" si="45"/>
        <v>854.48</v>
      </c>
      <c r="Q71" s="109">
        <f t="shared" si="45"/>
        <v>354.48</v>
      </c>
      <c r="R71" s="110">
        <f t="shared" si="45"/>
        <v>-500</v>
      </c>
      <c r="T71" s="1"/>
      <c r="U71" s="2"/>
      <c r="W71" s="1"/>
      <c r="X71" s="1"/>
      <c r="Y71" s="1"/>
      <c r="Z71" s="1"/>
      <c r="AA71" s="1"/>
      <c r="AB71" s="1"/>
      <c r="AC71" s="1"/>
      <c r="AD71" s="1" t="s">
        <v>53</v>
      </c>
      <c r="AE71" s="17">
        <v>135.52000000000001</v>
      </c>
      <c r="AH71" s="1"/>
      <c r="AI71" s="1"/>
      <c r="AJ71" s="1"/>
      <c r="AK71" s="1"/>
      <c r="AL71" s="1"/>
      <c r="AM71" s="1"/>
      <c r="AN71" s="1" t="s">
        <v>53</v>
      </c>
      <c r="AO71" s="17">
        <v>10</v>
      </c>
      <c r="AQ71" s="1"/>
      <c r="AR71" s="1"/>
      <c r="AS71" s="1"/>
      <c r="AT71" s="1"/>
      <c r="AU71" s="1"/>
      <c r="AV71" s="1"/>
      <c r="AW71" s="1"/>
      <c r="AX71" s="1" t="s">
        <v>53</v>
      </c>
      <c r="AY71" s="17">
        <v>0</v>
      </c>
      <c r="BB71" s="1"/>
      <c r="BC71" s="1"/>
      <c r="BD71" s="1"/>
      <c r="BE71" s="1"/>
      <c r="BF71" s="1"/>
      <c r="BG71" s="1"/>
      <c r="BH71" s="1" t="s">
        <v>53</v>
      </c>
      <c r="BI71" s="17">
        <v>0</v>
      </c>
      <c r="BK71" s="1"/>
      <c r="BL71" s="1"/>
      <c r="BM71" s="1"/>
      <c r="BN71" s="1"/>
      <c r="BO71" s="1"/>
      <c r="BP71" s="1"/>
      <c r="BQ71" s="1"/>
      <c r="BR71" s="1" t="s">
        <v>53</v>
      </c>
      <c r="BS71" s="17">
        <v>1800</v>
      </c>
      <c r="BV71" s="1"/>
      <c r="BW71" s="1"/>
      <c r="BX71" s="1"/>
      <c r="BY71" s="1"/>
      <c r="BZ71" s="1"/>
      <c r="CA71" s="1"/>
      <c r="CB71" s="1" t="s">
        <v>53</v>
      </c>
      <c r="CC71" s="17">
        <v>1000</v>
      </c>
      <c r="CF71" s="1"/>
      <c r="CG71" s="1"/>
      <c r="CH71" s="1"/>
      <c r="CI71" s="1"/>
      <c r="CJ71" s="1"/>
      <c r="CK71" s="1"/>
      <c r="CL71" s="1"/>
      <c r="CM71" s="2"/>
      <c r="CP71" s="1"/>
      <c r="CQ71" s="1"/>
      <c r="CR71" s="1"/>
      <c r="CS71" s="1"/>
      <c r="CT71" s="1"/>
      <c r="CU71" s="1"/>
      <c r="CV71" s="1"/>
      <c r="CW71" s="2"/>
      <c r="CZ71" s="1"/>
      <c r="DA71" s="1"/>
      <c r="DB71" s="1"/>
      <c r="DC71" s="1"/>
      <c r="DD71" s="1"/>
      <c r="DE71" s="1"/>
      <c r="DF71" s="1"/>
      <c r="DG71" s="2"/>
    </row>
    <row r="72" spans="1:111" ht="14.65" customHeight="1" x14ac:dyDescent="0.25">
      <c r="A72" s="1"/>
      <c r="B72" s="1"/>
      <c r="C72" s="1"/>
      <c r="D72" s="1"/>
      <c r="E72"/>
      <c r="F72" s="1" t="s">
        <v>98</v>
      </c>
      <c r="G72" s="1"/>
      <c r="H72" s="53"/>
      <c r="I72" s="35"/>
      <c r="J72" s="35"/>
      <c r="K72" s="35"/>
      <c r="L72" s="102"/>
      <c r="M72" s="101"/>
      <c r="N72" s="102"/>
      <c r="O72" s="103"/>
      <c r="P72" s="102"/>
      <c r="Q72" s="102"/>
      <c r="R72" s="103"/>
      <c r="T72" s="1"/>
      <c r="U72" s="2"/>
      <c r="W72" s="1"/>
      <c r="X72" s="1"/>
      <c r="Y72" s="1"/>
      <c r="Z72" s="1"/>
      <c r="AA72" s="1"/>
      <c r="AB72" s="1"/>
      <c r="AC72" s="1" t="s">
        <v>54</v>
      </c>
      <c r="AD72" s="1"/>
      <c r="AE72" s="2">
        <f>ROUND(SUM(AE70:AE71),5)</f>
        <v>135.52000000000001</v>
      </c>
      <c r="AH72" s="1"/>
      <c r="AI72" s="1"/>
      <c r="AJ72" s="1"/>
      <c r="AK72" s="1"/>
      <c r="AL72" s="1"/>
      <c r="AM72" s="1" t="s">
        <v>54</v>
      </c>
      <c r="AN72" s="1"/>
      <c r="AO72" s="2">
        <f>ROUND(SUM(AO70:AO71),5)</f>
        <v>10</v>
      </c>
      <c r="AQ72" s="1"/>
      <c r="AR72" s="1"/>
      <c r="AS72" s="1"/>
      <c r="AT72" s="1"/>
      <c r="AU72" s="1"/>
      <c r="AV72" s="1"/>
      <c r="AW72" s="1" t="s">
        <v>54</v>
      </c>
      <c r="AX72" s="1"/>
      <c r="AY72" s="2">
        <f>ROUND(SUM(AY70:AY71),5)</f>
        <v>0</v>
      </c>
      <c r="BB72" s="1"/>
      <c r="BC72" s="1"/>
      <c r="BD72" s="1"/>
      <c r="BE72" s="1"/>
      <c r="BF72" s="1"/>
      <c r="BG72" s="1" t="s">
        <v>54</v>
      </c>
      <c r="BH72" s="1"/>
      <c r="BI72" s="2">
        <f>ROUND(SUM(BI70:BI71),5)</f>
        <v>0</v>
      </c>
      <c r="BK72" s="1"/>
      <c r="BL72" s="1"/>
      <c r="BM72" s="1"/>
      <c r="BN72" s="1"/>
      <c r="BO72" s="1"/>
      <c r="BP72" s="1"/>
      <c r="BQ72" s="1" t="s">
        <v>54</v>
      </c>
      <c r="BR72" s="1"/>
      <c r="BS72" s="2">
        <f>ROUND(SUM(BS70:BS71),5)</f>
        <v>1800</v>
      </c>
      <c r="BV72" s="1"/>
      <c r="BW72" s="1"/>
      <c r="BX72" s="1"/>
      <c r="BY72" s="1"/>
      <c r="BZ72" s="1"/>
      <c r="CA72" s="1" t="s">
        <v>54</v>
      </c>
      <c r="CB72" s="1"/>
      <c r="CC72" s="2">
        <f>ROUND(SUM(CC70:CC71),5)</f>
        <v>1000</v>
      </c>
      <c r="CF72" s="1"/>
      <c r="CG72" s="1"/>
      <c r="CH72" s="1"/>
      <c r="CI72" s="1"/>
      <c r="CJ72" s="1"/>
      <c r="CK72" s="1"/>
      <c r="CL72" s="1"/>
      <c r="CM72" s="2"/>
      <c r="CP72" s="1"/>
      <c r="CQ72" s="1"/>
      <c r="CR72" s="1"/>
      <c r="CS72" s="1"/>
      <c r="CT72" s="1"/>
      <c r="CU72" s="1"/>
      <c r="CV72" s="1"/>
      <c r="CW72" s="2"/>
      <c r="CZ72" s="1"/>
      <c r="DA72" s="1"/>
      <c r="DB72" s="1"/>
      <c r="DC72" s="1"/>
      <c r="DD72" s="1"/>
      <c r="DE72" s="1"/>
      <c r="DF72" s="1"/>
      <c r="DG72" s="2"/>
    </row>
    <row r="73" spans="1:111" ht="14.65" customHeight="1" thickBot="1" x14ac:dyDescent="0.3">
      <c r="A73" s="1"/>
      <c r="B73" s="69"/>
      <c r="C73" s="69"/>
      <c r="D73" s="69"/>
      <c r="E73" s="69"/>
      <c r="F73" s="69"/>
      <c r="G73" s="70" t="s">
        <v>99</v>
      </c>
      <c r="H73" s="138">
        <v>262.24</v>
      </c>
      <c r="I73" s="200">
        <v>0</v>
      </c>
      <c r="J73" s="200">
        <v>0</v>
      </c>
      <c r="K73" s="200">
        <v>45</v>
      </c>
      <c r="L73" s="117">
        <f>SUM(H73:K73)</f>
        <v>307.24</v>
      </c>
      <c r="M73" s="105">
        <v>500</v>
      </c>
      <c r="N73" s="106">
        <v>500</v>
      </c>
      <c r="O73" s="107">
        <v>500</v>
      </c>
      <c r="P73" s="143">
        <f t="shared" ref="P73" si="47">N73-L73</f>
        <v>192.76</v>
      </c>
      <c r="Q73" s="133">
        <f>O73-L73</f>
        <v>192.76</v>
      </c>
      <c r="R73" s="134">
        <f>O73-N73</f>
        <v>0</v>
      </c>
      <c r="T73" s="1"/>
      <c r="U73" s="2"/>
      <c r="W73" s="1"/>
      <c r="X73" s="1"/>
      <c r="Y73" s="1"/>
      <c r="Z73" s="1"/>
      <c r="AA73" s="1"/>
      <c r="AB73" s="1"/>
      <c r="AC73" s="1" t="s">
        <v>98</v>
      </c>
      <c r="AD73" s="1"/>
      <c r="AE73" s="2"/>
      <c r="AH73" s="1"/>
      <c r="AI73" s="1"/>
      <c r="AJ73" s="1"/>
      <c r="AK73" s="1"/>
      <c r="AL73" s="1"/>
      <c r="AM73" s="1" t="s">
        <v>98</v>
      </c>
      <c r="AN73" s="1"/>
      <c r="AO73" s="2"/>
      <c r="AQ73" s="1"/>
      <c r="AR73" s="1"/>
      <c r="AS73" s="1"/>
      <c r="AT73" s="1"/>
      <c r="AU73" s="1"/>
      <c r="AV73" s="1"/>
      <c r="AW73" s="1" t="s">
        <v>98</v>
      </c>
      <c r="AX73" s="1"/>
      <c r="AY73" s="2"/>
      <c r="BB73" s="1"/>
      <c r="BC73" s="1"/>
      <c r="BD73" s="1"/>
      <c r="BE73" s="1"/>
      <c r="BF73" s="1"/>
      <c r="BG73" s="1" t="s">
        <v>98</v>
      </c>
      <c r="BH73" s="1"/>
      <c r="BI73" s="2"/>
      <c r="BK73" s="1"/>
      <c r="BL73" s="1"/>
      <c r="BM73" s="1"/>
      <c r="BN73" s="1"/>
      <c r="BO73" s="1"/>
      <c r="BP73" s="1"/>
      <c r="BQ73" s="1" t="s">
        <v>98</v>
      </c>
      <c r="BR73" s="1"/>
      <c r="BS73" s="2"/>
      <c r="BV73" s="1"/>
      <c r="BW73" s="1"/>
      <c r="BX73" s="1"/>
      <c r="BY73" s="1"/>
      <c r="BZ73" s="1"/>
      <c r="CA73" s="1" t="s">
        <v>98</v>
      </c>
      <c r="CB73" s="1"/>
      <c r="CC73" s="2"/>
      <c r="CF73" s="1"/>
      <c r="CG73" s="1"/>
      <c r="CH73" s="1"/>
      <c r="CI73" s="1"/>
      <c r="CJ73" s="1"/>
      <c r="CK73" s="1"/>
      <c r="CL73" s="1"/>
      <c r="CM73" s="2"/>
      <c r="CP73" s="1"/>
      <c r="CQ73" s="1"/>
      <c r="CR73" s="1"/>
      <c r="CS73" s="1"/>
      <c r="CT73" s="1"/>
      <c r="CU73" s="1"/>
      <c r="CV73" s="1"/>
      <c r="CW73" s="2"/>
      <c r="CZ73" s="1"/>
      <c r="DA73" s="1"/>
      <c r="DB73" s="1"/>
      <c r="DC73" s="1"/>
      <c r="DD73" s="1"/>
      <c r="DE73" s="1"/>
      <c r="DF73" s="1"/>
      <c r="DG73" s="2"/>
    </row>
    <row r="74" spans="1:111" ht="14.65" customHeight="1" thickBot="1" x14ac:dyDescent="0.3">
      <c r="A74" s="1"/>
      <c r="B74" s="18"/>
      <c r="C74" s="18"/>
      <c r="D74" s="18"/>
      <c r="E74" s="18"/>
      <c r="F74" s="18" t="s">
        <v>96</v>
      </c>
      <c r="G74" s="18"/>
      <c r="H74" s="54">
        <f>ROUND(SUM(H72:H73),5)</f>
        <v>262.24</v>
      </c>
      <c r="I74" s="36">
        <f t="shared" ref="I74:R74" si="48">ROUND(SUM(I72:I73),5)</f>
        <v>0</v>
      </c>
      <c r="J74" s="36">
        <f t="shared" si="48"/>
        <v>0</v>
      </c>
      <c r="K74" s="36">
        <f t="shared" si="48"/>
        <v>45</v>
      </c>
      <c r="L74" s="109">
        <f t="shared" si="48"/>
        <v>307.24</v>
      </c>
      <c r="M74" s="108">
        <f t="shared" si="48"/>
        <v>500</v>
      </c>
      <c r="N74" s="109">
        <f t="shared" si="48"/>
        <v>500</v>
      </c>
      <c r="O74" s="97">
        <f t="shared" si="48"/>
        <v>500</v>
      </c>
      <c r="P74" s="109">
        <f t="shared" si="48"/>
        <v>192.76</v>
      </c>
      <c r="Q74" s="109">
        <f t="shared" si="48"/>
        <v>192.76</v>
      </c>
      <c r="R74" s="110">
        <f t="shared" si="48"/>
        <v>0</v>
      </c>
      <c r="T74" s="1"/>
      <c r="U74" s="2"/>
      <c r="W74" s="1"/>
      <c r="X74" s="1"/>
      <c r="Y74" s="1"/>
      <c r="Z74" s="1"/>
      <c r="AA74" s="1"/>
      <c r="AB74" s="1"/>
      <c r="AC74" s="1"/>
      <c r="AD74" s="1" t="s">
        <v>99</v>
      </c>
      <c r="AE74" s="17">
        <v>262.24</v>
      </c>
      <c r="AH74" s="1"/>
      <c r="AI74" s="1"/>
      <c r="AJ74" s="1"/>
      <c r="AK74" s="1"/>
      <c r="AL74" s="1"/>
      <c r="AM74" s="1"/>
      <c r="AN74" s="1" t="s">
        <v>99</v>
      </c>
      <c r="AO74" s="17">
        <v>0</v>
      </c>
      <c r="AQ74" s="1"/>
      <c r="AR74" s="1"/>
      <c r="AS74" s="1"/>
      <c r="AT74" s="1"/>
      <c r="AU74" s="1"/>
      <c r="AV74" s="1"/>
      <c r="AW74" s="1"/>
      <c r="AX74" s="1" t="s">
        <v>99</v>
      </c>
      <c r="AY74" s="17">
        <v>0</v>
      </c>
      <c r="BB74" s="1"/>
      <c r="BC74" s="1"/>
      <c r="BD74" s="1"/>
      <c r="BE74" s="1"/>
      <c r="BF74" s="1"/>
      <c r="BG74" s="1"/>
      <c r="BH74" s="1" t="s">
        <v>99</v>
      </c>
      <c r="BI74" s="17">
        <v>45</v>
      </c>
      <c r="BK74" s="1"/>
      <c r="BL74" s="1"/>
      <c r="BM74" s="1"/>
      <c r="BN74" s="1"/>
      <c r="BO74" s="1"/>
      <c r="BP74" s="1"/>
      <c r="BQ74" s="1"/>
      <c r="BR74" s="1" t="s">
        <v>99</v>
      </c>
      <c r="BS74" s="17">
        <v>500</v>
      </c>
      <c r="BV74" s="1"/>
      <c r="BW74" s="1"/>
      <c r="BX74" s="1"/>
      <c r="BY74" s="1"/>
      <c r="BZ74" s="1"/>
      <c r="CA74" s="1"/>
      <c r="CB74" s="1" t="s">
        <v>99</v>
      </c>
      <c r="CC74" s="17">
        <v>500</v>
      </c>
      <c r="CF74" s="1"/>
      <c r="CG74" s="1"/>
      <c r="CH74" s="1"/>
      <c r="CI74" s="1"/>
      <c r="CJ74" s="1"/>
      <c r="CK74" s="1"/>
      <c r="CL74" s="1"/>
      <c r="CM74" s="2"/>
      <c r="CP74" s="1"/>
      <c r="CQ74" s="1"/>
      <c r="CR74" s="1"/>
      <c r="CS74" s="1"/>
      <c r="CT74" s="1"/>
      <c r="CU74" s="1"/>
      <c r="CV74" s="1"/>
      <c r="CW74" s="2"/>
      <c r="CZ74" s="1"/>
      <c r="DA74" s="1"/>
      <c r="DB74" s="1"/>
      <c r="DC74" s="1"/>
      <c r="DD74" s="1"/>
      <c r="DE74" s="1"/>
      <c r="DF74" s="1"/>
      <c r="DG74" s="2"/>
    </row>
    <row r="75" spans="1:111" ht="14.65" customHeight="1" x14ac:dyDescent="0.25">
      <c r="A75" s="1"/>
      <c r="B75" s="1"/>
      <c r="C75" s="1"/>
      <c r="D75" s="1"/>
      <c r="E75" s="1"/>
      <c r="F75" s="1" t="s">
        <v>55</v>
      </c>
      <c r="G75" s="1"/>
      <c r="H75" s="53"/>
      <c r="I75" s="35"/>
      <c r="J75" s="35"/>
      <c r="K75" s="35"/>
      <c r="L75" s="102"/>
      <c r="M75" s="101"/>
      <c r="N75" s="102"/>
      <c r="O75" s="103"/>
      <c r="P75" s="102"/>
      <c r="Q75" s="102"/>
      <c r="R75" s="103"/>
      <c r="T75" s="1"/>
      <c r="U75" s="2"/>
      <c r="W75" s="1"/>
      <c r="X75" s="1"/>
      <c r="Y75" s="1"/>
      <c r="Z75" s="1"/>
      <c r="AA75" s="1"/>
      <c r="AB75" s="1"/>
      <c r="AC75" s="1" t="s">
        <v>96</v>
      </c>
      <c r="AD75" s="1"/>
      <c r="AE75" s="2">
        <f>ROUND(SUM(AE73:AE74),5)</f>
        <v>262.24</v>
      </c>
      <c r="AH75" s="1"/>
      <c r="AI75" s="1"/>
      <c r="AJ75" s="1"/>
      <c r="AK75" s="1"/>
      <c r="AL75" s="1"/>
      <c r="AM75" s="1" t="s">
        <v>96</v>
      </c>
      <c r="AN75" s="1"/>
      <c r="AO75" s="2">
        <f>ROUND(SUM(AO73:AO74),5)</f>
        <v>0</v>
      </c>
      <c r="AQ75" s="1"/>
      <c r="AR75" s="1"/>
      <c r="AS75" s="1"/>
      <c r="AT75" s="1"/>
      <c r="AU75" s="1"/>
      <c r="AV75" s="1"/>
      <c r="AW75" s="1" t="s">
        <v>96</v>
      </c>
      <c r="AX75" s="1"/>
      <c r="AY75" s="2">
        <f>ROUND(SUM(AY73:AY74),5)</f>
        <v>0</v>
      </c>
      <c r="BB75" s="1"/>
      <c r="BC75" s="1"/>
      <c r="BD75" s="1"/>
      <c r="BE75" s="1"/>
      <c r="BF75" s="1"/>
      <c r="BG75" s="1" t="s">
        <v>96</v>
      </c>
      <c r="BH75" s="1"/>
      <c r="BI75" s="2">
        <f>ROUND(SUM(BI73:BI74),5)</f>
        <v>45</v>
      </c>
      <c r="BK75" s="1"/>
      <c r="BL75" s="1"/>
      <c r="BM75" s="1"/>
      <c r="BN75" s="1"/>
      <c r="BO75" s="1"/>
      <c r="BP75" s="1"/>
      <c r="BQ75" s="1" t="s">
        <v>96</v>
      </c>
      <c r="BR75" s="1"/>
      <c r="BS75" s="2">
        <f>ROUND(SUM(BS73:BS74),5)</f>
        <v>500</v>
      </c>
      <c r="BV75" s="1"/>
      <c r="BW75" s="1"/>
      <c r="BX75" s="1"/>
      <c r="BY75" s="1"/>
      <c r="BZ75" s="1"/>
      <c r="CA75" s="1" t="s">
        <v>96</v>
      </c>
      <c r="CB75" s="1"/>
      <c r="CC75" s="2">
        <f>ROUND(SUM(CC73:CC74),5)</f>
        <v>500</v>
      </c>
      <c r="CF75" s="1"/>
      <c r="CG75" s="1"/>
      <c r="CH75" s="1"/>
      <c r="CI75" s="1"/>
      <c r="CJ75" s="1"/>
      <c r="CK75" s="1"/>
      <c r="CL75" s="1"/>
      <c r="CM75" s="2"/>
      <c r="CP75" s="1"/>
      <c r="CQ75" s="1"/>
      <c r="CR75" s="1"/>
      <c r="CS75" s="1"/>
      <c r="CT75" s="1"/>
      <c r="CU75" s="1"/>
      <c r="CV75" s="1"/>
      <c r="CW75" s="2"/>
      <c r="CZ75" s="1"/>
      <c r="DA75" s="1"/>
      <c r="DB75" s="1"/>
      <c r="DC75" s="1"/>
      <c r="DD75" s="1"/>
      <c r="DE75" s="1"/>
      <c r="DF75" s="1"/>
      <c r="DG75" s="2"/>
    </row>
    <row r="76" spans="1:111" ht="14.65" customHeight="1" x14ac:dyDescent="0.25">
      <c r="A76" s="1"/>
      <c r="B76" s="1"/>
      <c r="C76" s="1"/>
      <c r="D76" s="1"/>
      <c r="E76" s="1"/>
      <c r="F76" s="1"/>
      <c r="G76" s="1" t="s">
        <v>104</v>
      </c>
      <c r="H76" s="137">
        <v>3769.79</v>
      </c>
      <c r="I76" s="198">
        <v>-658.49</v>
      </c>
      <c r="J76" s="198">
        <v>1327.18</v>
      </c>
      <c r="K76" s="198">
        <v>645.66</v>
      </c>
      <c r="L76" s="90">
        <f>SUM(H76:K76)</f>
        <v>5084.1400000000003</v>
      </c>
      <c r="M76" s="104">
        <v>7800</v>
      </c>
      <c r="N76" s="92">
        <v>7800</v>
      </c>
      <c r="O76" s="93">
        <v>6000</v>
      </c>
      <c r="P76" s="142">
        <f t="shared" ref="P76:P79" si="49">N76-L76</f>
        <v>2715.8599999999997</v>
      </c>
      <c r="Q76" s="131">
        <f>O76-L76</f>
        <v>915.85999999999967</v>
      </c>
      <c r="R76" s="132">
        <f>O76-N76</f>
        <v>-1800</v>
      </c>
      <c r="T76" s="1"/>
      <c r="U76" s="2"/>
      <c r="W76" s="1"/>
      <c r="X76" s="1"/>
      <c r="Y76" s="1"/>
      <c r="Z76" s="1"/>
      <c r="AA76" s="1"/>
      <c r="AB76" s="1"/>
      <c r="AC76" s="1" t="s">
        <v>55</v>
      </c>
      <c r="AD76" s="1"/>
      <c r="AE76" s="2"/>
      <c r="AH76" s="1"/>
      <c r="AI76" s="1"/>
      <c r="AJ76" s="1"/>
      <c r="AK76" s="1"/>
      <c r="AL76" s="1"/>
      <c r="AM76" s="1" t="s">
        <v>55</v>
      </c>
      <c r="AN76" s="1"/>
      <c r="AO76" s="2"/>
      <c r="AQ76" s="1"/>
      <c r="AR76" s="1"/>
      <c r="AS76" s="1"/>
      <c r="AT76" s="1"/>
      <c r="AU76" s="1"/>
      <c r="AV76" s="1"/>
      <c r="AW76" s="1" t="s">
        <v>55</v>
      </c>
      <c r="AX76" s="1"/>
      <c r="AY76" s="2"/>
      <c r="BB76" s="1"/>
      <c r="BC76" s="1"/>
      <c r="BD76" s="1"/>
      <c r="BE76" s="1"/>
      <c r="BF76" s="1"/>
      <c r="BG76" s="1" t="s">
        <v>55</v>
      </c>
      <c r="BH76" s="1"/>
      <c r="BI76" s="2"/>
      <c r="BK76" s="1"/>
      <c r="BL76" s="1"/>
      <c r="BM76" s="1"/>
      <c r="BN76" s="1"/>
      <c r="BO76" s="1"/>
      <c r="BP76" s="1"/>
      <c r="BQ76" s="1" t="s">
        <v>55</v>
      </c>
      <c r="BR76" s="1"/>
      <c r="BS76" s="2"/>
      <c r="BV76" s="1"/>
      <c r="BW76" s="1"/>
      <c r="BX76" s="1"/>
      <c r="BY76" s="1"/>
      <c r="BZ76" s="1"/>
      <c r="CA76" s="1" t="s">
        <v>55</v>
      </c>
      <c r="CB76" s="1"/>
      <c r="CC76" s="2"/>
      <c r="CF76" s="1"/>
      <c r="CG76" s="1"/>
      <c r="CH76" s="1"/>
      <c r="CI76" s="1"/>
      <c r="CJ76" s="1"/>
      <c r="CK76" s="1"/>
      <c r="CL76" s="1"/>
      <c r="CM76" s="2"/>
      <c r="CP76" s="1"/>
      <c r="CQ76" s="1"/>
      <c r="CR76" s="1"/>
      <c r="CS76" s="1"/>
      <c r="CT76" s="1"/>
      <c r="CU76" s="1"/>
      <c r="CV76" s="1"/>
      <c r="CW76" s="2"/>
      <c r="CZ76" s="1"/>
      <c r="DA76" s="1"/>
      <c r="DB76" s="1"/>
      <c r="DC76" s="1"/>
      <c r="DD76" s="1"/>
      <c r="DE76" s="1"/>
      <c r="DF76" s="1"/>
      <c r="DG76" s="2"/>
    </row>
    <row r="77" spans="1:111" ht="14.65" customHeight="1" x14ac:dyDescent="0.25">
      <c r="A77" s="1"/>
      <c r="B77" s="1"/>
      <c r="C77" s="1"/>
      <c r="D77" s="1"/>
      <c r="E77" s="1"/>
      <c r="F77" s="1"/>
      <c r="G77" s="1" t="s">
        <v>105</v>
      </c>
      <c r="H77" s="137">
        <v>2727.91</v>
      </c>
      <c r="I77" s="198">
        <v>203.32</v>
      </c>
      <c r="J77" s="198">
        <v>545.58000000000004</v>
      </c>
      <c r="K77" s="198">
        <v>-50</v>
      </c>
      <c r="L77" s="90">
        <f t="shared" ref="L77:L78" si="50">SUM(H77:K77)</f>
        <v>3426.81</v>
      </c>
      <c r="M77" s="104">
        <v>3000</v>
      </c>
      <c r="N77" s="92">
        <v>2000</v>
      </c>
      <c r="O77" s="93">
        <v>3500</v>
      </c>
      <c r="P77" s="142">
        <f t="shared" si="49"/>
        <v>-1426.81</v>
      </c>
      <c r="Q77" s="131">
        <f>O77-L77</f>
        <v>73.190000000000055</v>
      </c>
      <c r="R77" s="132">
        <f>O77-N77</f>
        <v>1500</v>
      </c>
      <c r="T77" s="1"/>
      <c r="U77" s="2"/>
      <c r="W77" s="1"/>
      <c r="X77" s="1"/>
      <c r="Y77" s="1"/>
      <c r="Z77" s="1"/>
      <c r="AA77" s="1"/>
      <c r="AB77" s="1"/>
      <c r="AC77" s="1"/>
      <c r="AD77" s="1" t="s">
        <v>104</v>
      </c>
      <c r="AE77" s="2">
        <v>3769.79</v>
      </c>
      <c r="AH77" s="1"/>
      <c r="AI77" s="1"/>
      <c r="AJ77" s="1"/>
      <c r="AK77" s="1"/>
      <c r="AL77" s="1"/>
      <c r="AM77" s="1"/>
      <c r="AN77" s="1" t="s">
        <v>104</v>
      </c>
      <c r="AO77" s="2">
        <v>-658.49</v>
      </c>
      <c r="AQ77" s="1"/>
      <c r="AR77" s="1"/>
      <c r="AS77" s="1"/>
      <c r="AT77" s="1"/>
      <c r="AU77" s="1"/>
      <c r="AV77" s="1"/>
      <c r="AW77" s="1"/>
      <c r="AX77" s="1" t="s">
        <v>104</v>
      </c>
      <c r="AY77" s="2">
        <v>1327.18</v>
      </c>
      <c r="BB77" s="1"/>
      <c r="BC77" s="1"/>
      <c r="BD77" s="1"/>
      <c r="BE77" s="1"/>
      <c r="BF77" s="1"/>
      <c r="BG77" s="1"/>
      <c r="BH77" s="1" t="s">
        <v>104</v>
      </c>
      <c r="BI77" s="2">
        <v>645.66</v>
      </c>
      <c r="BK77" s="1"/>
      <c r="BL77" s="1"/>
      <c r="BM77" s="1"/>
      <c r="BN77" s="1"/>
      <c r="BO77" s="1"/>
      <c r="BP77" s="1"/>
      <c r="BQ77" s="1"/>
      <c r="BR77" s="1" t="s">
        <v>104</v>
      </c>
      <c r="BS77" s="2">
        <v>7800</v>
      </c>
      <c r="BV77" s="1"/>
      <c r="BW77" s="1"/>
      <c r="BX77" s="1"/>
      <c r="BY77" s="1"/>
      <c r="BZ77" s="1"/>
      <c r="CA77" s="1"/>
      <c r="CB77" s="1" t="s">
        <v>104</v>
      </c>
      <c r="CC77" s="2">
        <v>7800</v>
      </c>
      <c r="CF77" s="1"/>
      <c r="CG77" s="1"/>
      <c r="CH77" s="1"/>
      <c r="CI77" s="1"/>
      <c r="CJ77" s="1"/>
      <c r="CK77" s="1"/>
      <c r="CL77" s="1"/>
      <c r="CM77" s="2"/>
      <c r="CP77" s="1"/>
      <c r="CQ77" s="1"/>
      <c r="CR77" s="1"/>
      <c r="CS77" s="1"/>
      <c r="CT77" s="1"/>
      <c r="CU77" s="1"/>
      <c r="CV77" s="1"/>
      <c r="CW77" s="2"/>
      <c r="CZ77" s="1"/>
      <c r="DA77" s="1"/>
      <c r="DB77" s="1"/>
      <c r="DC77" s="1"/>
      <c r="DD77" s="1"/>
      <c r="DE77" s="1"/>
      <c r="DF77" s="1"/>
      <c r="DG77" s="2"/>
    </row>
    <row r="78" spans="1:111" ht="14.65" customHeight="1" x14ac:dyDescent="0.25">
      <c r="A78" s="1"/>
      <c r="B78" s="1"/>
      <c r="C78" s="1"/>
      <c r="D78" s="1"/>
      <c r="E78" s="1"/>
      <c r="F78" s="1"/>
      <c r="G78" s="1" t="s">
        <v>106</v>
      </c>
      <c r="H78" s="137">
        <v>499.7</v>
      </c>
      <c r="I78" s="198">
        <v>39.950000000000003</v>
      </c>
      <c r="J78" s="198">
        <v>59.36</v>
      </c>
      <c r="K78" s="198">
        <v>60.73</v>
      </c>
      <c r="L78" s="90">
        <f t="shared" si="50"/>
        <v>659.74</v>
      </c>
      <c r="M78" s="104">
        <v>1200</v>
      </c>
      <c r="N78" s="92">
        <v>1200</v>
      </c>
      <c r="O78" s="93">
        <v>1200</v>
      </c>
      <c r="P78" s="142">
        <f t="shared" si="49"/>
        <v>540.26</v>
      </c>
      <c r="Q78" s="131">
        <f>O78-L78</f>
        <v>540.26</v>
      </c>
      <c r="R78" s="132">
        <f>O78-N78</f>
        <v>0</v>
      </c>
      <c r="T78" s="1"/>
      <c r="U78" s="2"/>
      <c r="W78" s="1"/>
      <c r="X78" s="1"/>
      <c r="Y78" s="1"/>
      <c r="Z78" s="1"/>
      <c r="AA78" s="1"/>
      <c r="AB78" s="1"/>
      <c r="AC78" s="1"/>
      <c r="AD78" s="1" t="s">
        <v>105</v>
      </c>
      <c r="AE78" s="2">
        <v>2727.91</v>
      </c>
      <c r="AH78" s="1"/>
      <c r="AI78" s="1"/>
      <c r="AJ78" s="1"/>
      <c r="AK78" s="1"/>
      <c r="AL78" s="1"/>
      <c r="AM78" s="1"/>
      <c r="AN78" s="1" t="s">
        <v>105</v>
      </c>
      <c r="AO78" s="2">
        <v>203.32</v>
      </c>
      <c r="AQ78" s="1"/>
      <c r="AR78" s="1"/>
      <c r="AS78" s="1"/>
      <c r="AT78" s="1"/>
      <c r="AU78" s="1"/>
      <c r="AV78" s="1"/>
      <c r="AW78" s="1"/>
      <c r="AX78" s="1" t="s">
        <v>105</v>
      </c>
      <c r="AY78" s="2">
        <v>545.58000000000004</v>
      </c>
      <c r="BB78" s="1"/>
      <c r="BC78" s="1"/>
      <c r="BD78" s="1"/>
      <c r="BE78" s="1"/>
      <c r="BF78" s="1"/>
      <c r="BG78" s="1"/>
      <c r="BH78" s="1" t="s">
        <v>105</v>
      </c>
      <c r="BI78" s="2">
        <v>-50</v>
      </c>
      <c r="BK78" s="1"/>
      <c r="BL78" s="1"/>
      <c r="BM78" s="1"/>
      <c r="BN78" s="1"/>
      <c r="BO78" s="1"/>
      <c r="BP78" s="1"/>
      <c r="BQ78" s="1"/>
      <c r="BR78" s="1" t="s">
        <v>105</v>
      </c>
      <c r="BS78" s="2">
        <v>3000</v>
      </c>
      <c r="BV78" s="1"/>
      <c r="BW78" s="1"/>
      <c r="BX78" s="1"/>
      <c r="BY78" s="1"/>
      <c r="BZ78" s="1"/>
      <c r="CA78" s="1"/>
      <c r="CB78" s="1" t="s">
        <v>105</v>
      </c>
      <c r="CC78" s="2">
        <v>2000</v>
      </c>
      <c r="CF78" s="1"/>
      <c r="CG78" s="1"/>
      <c r="CH78" s="1"/>
      <c r="CI78" s="1"/>
      <c r="CJ78" s="1"/>
      <c r="CK78" s="1"/>
      <c r="CL78" s="1"/>
      <c r="CM78" s="2"/>
      <c r="CP78" s="1"/>
      <c r="CQ78" s="1"/>
      <c r="CR78" s="1"/>
      <c r="CS78" s="1"/>
      <c r="CT78" s="1"/>
      <c r="CU78" s="1"/>
      <c r="CV78" s="1"/>
      <c r="CW78" s="2"/>
      <c r="CZ78" s="1"/>
      <c r="DA78" s="1"/>
      <c r="DB78" s="1"/>
      <c r="DC78" s="1"/>
      <c r="DD78" s="1"/>
      <c r="DE78" s="1"/>
      <c r="DF78" s="1"/>
      <c r="DG78" s="2"/>
    </row>
    <row r="79" spans="1:111" ht="14.65" customHeight="1" thickBot="1" x14ac:dyDescent="0.3">
      <c r="A79" s="1"/>
      <c r="B79" s="69"/>
      <c r="C79" s="69"/>
      <c r="D79" s="69"/>
      <c r="E79" s="69"/>
      <c r="F79" s="69"/>
      <c r="G79" s="70" t="s">
        <v>107</v>
      </c>
      <c r="H79" s="138">
        <v>220</v>
      </c>
      <c r="I79" s="200">
        <v>0</v>
      </c>
      <c r="J79" s="200">
        <v>0</v>
      </c>
      <c r="K79" s="200">
        <v>0</v>
      </c>
      <c r="L79" s="94">
        <f>SUM(H79:K79)</f>
        <v>220</v>
      </c>
      <c r="M79" s="105">
        <v>1000</v>
      </c>
      <c r="N79" s="106">
        <v>500</v>
      </c>
      <c r="O79" s="107">
        <v>300</v>
      </c>
      <c r="P79" s="143">
        <f t="shared" si="49"/>
        <v>280</v>
      </c>
      <c r="Q79" s="133">
        <f>O79-L79</f>
        <v>80</v>
      </c>
      <c r="R79" s="134">
        <f>O79-N79</f>
        <v>-200</v>
      </c>
      <c r="T79" s="1"/>
      <c r="U79" s="2"/>
      <c r="W79" s="1"/>
      <c r="X79" s="1"/>
      <c r="Y79" s="1"/>
      <c r="Z79" s="1"/>
      <c r="AA79" s="1"/>
      <c r="AB79" s="1"/>
      <c r="AC79" s="1"/>
      <c r="AD79" s="1" t="s">
        <v>106</v>
      </c>
      <c r="AE79" s="2">
        <v>499.7</v>
      </c>
      <c r="AH79" s="1"/>
      <c r="AI79" s="1"/>
      <c r="AJ79" s="1"/>
      <c r="AK79" s="1"/>
      <c r="AL79" s="1"/>
      <c r="AM79" s="1"/>
      <c r="AN79" s="1" t="s">
        <v>106</v>
      </c>
      <c r="AO79" s="2">
        <v>39.950000000000003</v>
      </c>
      <c r="AQ79" s="1"/>
      <c r="AR79" s="1"/>
      <c r="AS79" s="1"/>
      <c r="AT79" s="1"/>
      <c r="AU79" s="1"/>
      <c r="AV79" s="1"/>
      <c r="AW79" s="1"/>
      <c r="AX79" s="1" t="s">
        <v>106</v>
      </c>
      <c r="AY79" s="2">
        <v>59.36</v>
      </c>
      <c r="BB79" s="1"/>
      <c r="BC79" s="1"/>
      <c r="BD79" s="1"/>
      <c r="BE79" s="1"/>
      <c r="BF79" s="1"/>
      <c r="BG79" s="1"/>
      <c r="BH79" s="1" t="s">
        <v>106</v>
      </c>
      <c r="BI79" s="2">
        <v>60.73</v>
      </c>
      <c r="BK79" s="1"/>
      <c r="BL79" s="1"/>
      <c r="BM79" s="1"/>
      <c r="BN79" s="1"/>
      <c r="BO79" s="1"/>
      <c r="BP79" s="1"/>
      <c r="BQ79" s="1"/>
      <c r="BR79" s="1" t="s">
        <v>106</v>
      </c>
      <c r="BS79" s="2">
        <v>1200</v>
      </c>
      <c r="BV79" s="1"/>
      <c r="BW79" s="1"/>
      <c r="BX79" s="1"/>
      <c r="BY79" s="1"/>
      <c r="BZ79" s="1"/>
      <c r="CA79" s="1"/>
      <c r="CB79" s="1" t="s">
        <v>106</v>
      </c>
      <c r="CC79" s="2">
        <v>1200</v>
      </c>
      <c r="CF79" s="1"/>
      <c r="CG79" s="1"/>
      <c r="CH79" s="1"/>
      <c r="CI79" s="1"/>
      <c r="CJ79" s="1"/>
      <c r="CK79" s="1"/>
      <c r="CL79" s="1"/>
      <c r="CM79" s="2"/>
      <c r="CP79" s="1"/>
      <c r="CQ79" s="1"/>
      <c r="CR79" s="1"/>
      <c r="CS79" s="1"/>
      <c r="CT79" s="1"/>
      <c r="CU79" s="1"/>
      <c r="CV79" s="1"/>
      <c r="CW79" s="2"/>
      <c r="CZ79" s="1"/>
      <c r="DA79" s="1"/>
      <c r="DB79" s="1"/>
      <c r="DC79" s="1"/>
      <c r="DD79" s="1"/>
      <c r="DE79" s="1"/>
      <c r="DF79" s="1"/>
      <c r="DG79" s="2"/>
    </row>
    <row r="80" spans="1:111" ht="14.65" customHeight="1" thickBot="1" x14ac:dyDescent="0.3">
      <c r="A80" s="1"/>
      <c r="B80" s="18"/>
      <c r="C80" s="18"/>
      <c r="D80" s="18"/>
      <c r="E80" s="18"/>
      <c r="F80" s="18" t="s">
        <v>56</v>
      </c>
      <c r="G80" s="18"/>
      <c r="H80" s="54">
        <f>ROUND(SUM(H75:H79),5)</f>
        <v>7217.4</v>
      </c>
      <c r="I80" s="36">
        <f t="shared" ref="I80:R80" si="51">ROUND(SUM(I75:I79),5)</f>
        <v>-415.22</v>
      </c>
      <c r="J80" s="36">
        <f t="shared" si="51"/>
        <v>1932.12</v>
      </c>
      <c r="K80" s="36">
        <f>ROUND(SUM(K75:K79),5)</f>
        <v>656.39</v>
      </c>
      <c r="L80" s="109">
        <f t="shared" si="51"/>
        <v>9390.69</v>
      </c>
      <c r="M80" s="108">
        <f t="shared" si="51"/>
        <v>13000</v>
      </c>
      <c r="N80" s="109">
        <f t="shared" si="51"/>
        <v>11500</v>
      </c>
      <c r="O80" s="97">
        <f t="shared" si="51"/>
        <v>11000</v>
      </c>
      <c r="P80" s="109">
        <f t="shared" si="51"/>
        <v>2109.31</v>
      </c>
      <c r="Q80" s="109">
        <f t="shared" si="51"/>
        <v>1609.31</v>
      </c>
      <c r="R80" s="110">
        <f t="shared" si="51"/>
        <v>-500</v>
      </c>
      <c r="T80" s="1"/>
      <c r="U80" s="2"/>
      <c r="W80" s="1"/>
      <c r="X80" s="1"/>
      <c r="Y80" s="1"/>
      <c r="Z80" s="1"/>
      <c r="AA80" s="1"/>
      <c r="AB80" s="1"/>
      <c r="AC80" s="1"/>
      <c r="AD80" s="1" t="s">
        <v>107</v>
      </c>
      <c r="AE80" s="17">
        <v>220</v>
      </c>
      <c r="AH80" s="1"/>
      <c r="AI80" s="1"/>
      <c r="AJ80" s="1"/>
      <c r="AK80" s="1"/>
      <c r="AL80" s="1"/>
      <c r="AM80" s="1"/>
      <c r="AN80" s="1" t="s">
        <v>107</v>
      </c>
      <c r="AO80" s="17">
        <v>0</v>
      </c>
      <c r="AQ80" s="1"/>
      <c r="AR80" s="1"/>
      <c r="AS80" s="1"/>
      <c r="AT80" s="1"/>
      <c r="AU80" s="1"/>
      <c r="AV80" s="1"/>
      <c r="AW80" s="1"/>
      <c r="AX80" s="1" t="s">
        <v>107</v>
      </c>
      <c r="AY80" s="17">
        <v>0</v>
      </c>
      <c r="BB80" s="1"/>
      <c r="BC80" s="1"/>
      <c r="BD80" s="1"/>
      <c r="BE80" s="1"/>
      <c r="BF80" s="1"/>
      <c r="BG80" s="1"/>
      <c r="BH80" s="1" t="s">
        <v>107</v>
      </c>
      <c r="BI80" s="17">
        <v>0</v>
      </c>
      <c r="BK80" s="1"/>
      <c r="BL80" s="1"/>
      <c r="BM80" s="1"/>
      <c r="BN80" s="1"/>
      <c r="BO80" s="1"/>
      <c r="BP80" s="1"/>
      <c r="BQ80" s="1"/>
      <c r="BR80" s="1" t="s">
        <v>107</v>
      </c>
      <c r="BS80" s="17">
        <v>1000</v>
      </c>
      <c r="BV80" s="1"/>
      <c r="BW80" s="1"/>
      <c r="BX80" s="1"/>
      <c r="BY80" s="1"/>
      <c r="BZ80" s="1"/>
      <c r="CA80" s="1"/>
      <c r="CB80" s="1" t="s">
        <v>107</v>
      </c>
      <c r="CC80" s="17">
        <v>500</v>
      </c>
      <c r="CF80" s="1"/>
      <c r="CG80" s="1"/>
      <c r="CH80" s="1"/>
      <c r="CI80" s="1"/>
      <c r="CJ80" s="1"/>
      <c r="CK80" s="1"/>
      <c r="CL80" s="1"/>
      <c r="CM80" s="2"/>
      <c r="CP80" s="1"/>
      <c r="CQ80" s="1"/>
      <c r="CR80" s="1"/>
      <c r="CS80" s="1"/>
      <c r="CT80" s="1"/>
      <c r="CU80" s="1"/>
      <c r="CV80" s="1"/>
      <c r="CW80" s="2"/>
      <c r="CZ80" s="1"/>
      <c r="DA80" s="1"/>
      <c r="DB80" s="1"/>
      <c r="DC80" s="1"/>
      <c r="DD80" s="1"/>
      <c r="DE80" s="1"/>
      <c r="DF80" s="1"/>
      <c r="DG80" s="2"/>
    </row>
    <row r="81" spans="1:111" ht="14.65" customHeight="1" x14ac:dyDescent="0.25">
      <c r="A81" s="1"/>
      <c r="B81" s="1"/>
      <c r="C81" s="1"/>
      <c r="D81" s="1"/>
      <c r="E81" s="1"/>
      <c r="F81" s="1" t="s">
        <v>57</v>
      </c>
      <c r="G81" s="1"/>
      <c r="H81" s="53"/>
      <c r="I81" s="35"/>
      <c r="J81" s="35"/>
      <c r="K81" s="35"/>
      <c r="L81" s="102"/>
      <c r="M81" s="101"/>
      <c r="N81" s="102"/>
      <c r="O81" s="103"/>
      <c r="P81" s="102"/>
      <c r="Q81" s="102"/>
      <c r="R81" s="103"/>
      <c r="T81" s="1"/>
      <c r="U81" s="2"/>
      <c r="W81" s="1"/>
      <c r="X81" s="1"/>
      <c r="Y81" s="1"/>
      <c r="Z81" s="1"/>
      <c r="AA81" s="1"/>
      <c r="AB81" s="1"/>
      <c r="AC81" s="1" t="s">
        <v>56</v>
      </c>
      <c r="AD81" s="1"/>
      <c r="AE81" s="2">
        <f>ROUND(SUM(AE76:AE80),5)</f>
        <v>7217.4</v>
      </c>
      <c r="AH81" s="1"/>
      <c r="AI81" s="1"/>
      <c r="AJ81" s="1"/>
      <c r="AK81" s="1"/>
      <c r="AL81" s="1"/>
      <c r="AM81" s="1" t="s">
        <v>56</v>
      </c>
      <c r="AN81" s="1"/>
      <c r="AO81" s="2">
        <f>ROUND(SUM(AO76:AO80),5)</f>
        <v>-415.22</v>
      </c>
      <c r="AQ81" s="1"/>
      <c r="AR81" s="1"/>
      <c r="AS81" s="1"/>
      <c r="AT81" s="1"/>
      <c r="AU81" s="1"/>
      <c r="AV81" s="1"/>
      <c r="AW81" s="1" t="s">
        <v>56</v>
      </c>
      <c r="AX81" s="1"/>
      <c r="AY81" s="2">
        <f>ROUND(SUM(AY76:AY80),5)</f>
        <v>1932.12</v>
      </c>
      <c r="BB81" s="1"/>
      <c r="BC81" s="1"/>
      <c r="BD81" s="1"/>
      <c r="BE81" s="1"/>
      <c r="BF81" s="1"/>
      <c r="BG81" s="1" t="s">
        <v>56</v>
      </c>
      <c r="BH81" s="1"/>
      <c r="BI81" s="2">
        <f>ROUND(SUM(BI76:BI80),5)</f>
        <v>656.39</v>
      </c>
      <c r="BK81" s="1"/>
      <c r="BL81" s="1"/>
      <c r="BM81" s="1"/>
      <c r="BN81" s="1"/>
      <c r="BO81" s="1"/>
      <c r="BP81" s="1"/>
      <c r="BQ81" s="1" t="s">
        <v>56</v>
      </c>
      <c r="BR81" s="1"/>
      <c r="BS81" s="2">
        <f>ROUND(SUM(BS76:BS80),5)</f>
        <v>13000</v>
      </c>
      <c r="BV81" s="1"/>
      <c r="BW81" s="1"/>
      <c r="BX81" s="1"/>
      <c r="BY81" s="1"/>
      <c r="BZ81" s="1"/>
      <c r="CA81" s="1" t="s">
        <v>56</v>
      </c>
      <c r="CB81" s="1"/>
      <c r="CC81" s="2">
        <f>ROUND(SUM(CC76:CC80),5)</f>
        <v>11500</v>
      </c>
      <c r="CF81" s="1"/>
      <c r="CG81" s="1"/>
      <c r="CH81" s="1"/>
      <c r="CI81" s="1"/>
      <c r="CJ81" s="1"/>
      <c r="CK81" s="1"/>
      <c r="CL81" s="1"/>
      <c r="CM81" s="2"/>
      <c r="CP81" s="1"/>
      <c r="CQ81" s="1"/>
      <c r="CR81" s="1"/>
      <c r="CS81" s="1"/>
      <c r="CT81" s="1"/>
      <c r="CU81" s="1"/>
      <c r="CV81" s="1"/>
      <c r="CW81" s="2"/>
      <c r="CZ81" s="1"/>
      <c r="DA81" s="1"/>
      <c r="DB81" s="1"/>
      <c r="DC81" s="1"/>
      <c r="DD81" s="1"/>
      <c r="DE81" s="1"/>
      <c r="DF81" s="1"/>
      <c r="DG81" s="2"/>
    </row>
    <row r="82" spans="1:111" ht="14.65" customHeight="1" x14ac:dyDescent="0.25">
      <c r="A82" s="1"/>
      <c r="B82" s="1"/>
      <c r="C82" s="1"/>
      <c r="D82" s="1"/>
      <c r="E82" s="1"/>
      <c r="F82" s="1"/>
      <c r="G82" s="1" t="s">
        <v>150</v>
      </c>
      <c r="H82" s="137">
        <v>1921.66</v>
      </c>
      <c r="I82" s="198">
        <v>221.4</v>
      </c>
      <c r="J82" s="198">
        <v>190.99</v>
      </c>
      <c r="K82" s="198">
        <v>190.99</v>
      </c>
      <c r="L82" s="90">
        <f>SUM(H82:K82)</f>
        <v>2525.04</v>
      </c>
      <c r="M82" s="104">
        <v>3500</v>
      </c>
      <c r="N82" s="92">
        <v>3500</v>
      </c>
      <c r="O82" s="93">
        <v>3000</v>
      </c>
      <c r="P82" s="142">
        <f t="shared" ref="P82:P87" si="52">N82-L82</f>
        <v>974.96</v>
      </c>
      <c r="Q82" s="131">
        <f t="shared" ref="Q82:Q87" si="53">O82-L82</f>
        <v>474.96000000000004</v>
      </c>
      <c r="R82" s="132">
        <f t="shared" ref="R82:R87" si="54">O82-N82</f>
        <v>-500</v>
      </c>
      <c r="T82" s="1"/>
      <c r="U82" s="2"/>
      <c r="W82" s="1"/>
      <c r="X82" s="1"/>
      <c r="Y82" s="1"/>
      <c r="Z82" s="1"/>
      <c r="AA82" s="1"/>
      <c r="AB82" s="1"/>
      <c r="AC82" s="1" t="s">
        <v>57</v>
      </c>
      <c r="AD82" s="1"/>
      <c r="AE82" s="2"/>
      <c r="AH82" s="1"/>
      <c r="AI82" s="1"/>
      <c r="AJ82" s="1"/>
      <c r="AK82" s="1"/>
      <c r="AL82" s="1"/>
      <c r="AM82" s="1" t="s">
        <v>57</v>
      </c>
      <c r="AN82" s="1"/>
      <c r="AO82" s="2"/>
      <c r="AQ82" s="1"/>
      <c r="AR82" s="1"/>
      <c r="AS82" s="1"/>
      <c r="AT82" s="1"/>
      <c r="AU82" s="1"/>
      <c r="AV82" s="1"/>
      <c r="AW82" s="1" t="s">
        <v>57</v>
      </c>
      <c r="AX82" s="1"/>
      <c r="AY82" s="2"/>
      <c r="BB82" s="1"/>
      <c r="BC82" s="1"/>
      <c r="BD82" s="1"/>
      <c r="BE82" s="1"/>
      <c r="BF82" s="1"/>
      <c r="BG82" s="1" t="s">
        <v>57</v>
      </c>
      <c r="BH82" s="1"/>
      <c r="BI82" s="2"/>
      <c r="BK82" s="1"/>
      <c r="BL82" s="1"/>
      <c r="BM82" s="1"/>
      <c r="BN82" s="1"/>
      <c r="BO82" s="1"/>
      <c r="BP82" s="1"/>
      <c r="BQ82" s="1" t="s">
        <v>57</v>
      </c>
      <c r="BR82" s="1"/>
      <c r="BS82" s="2"/>
      <c r="BV82" s="1"/>
      <c r="BW82" s="1"/>
      <c r="BX82" s="1"/>
      <c r="BY82" s="1"/>
      <c r="BZ82" s="1"/>
      <c r="CA82" s="1" t="s">
        <v>57</v>
      </c>
      <c r="CB82" s="1"/>
      <c r="CC82" s="2"/>
      <c r="CF82" s="1"/>
      <c r="CG82" s="1"/>
      <c r="CH82" s="1"/>
      <c r="CI82" s="1"/>
      <c r="CJ82" s="1"/>
      <c r="CK82" s="1"/>
      <c r="CL82" s="1"/>
      <c r="CM82" s="2"/>
      <c r="CP82" s="1"/>
      <c r="CQ82" s="1"/>
      <c r="CR82" s="1"/>
      <c r="CS82" s="1"/>
      <c r="CT82" s="1"/>
      <c r="CU82" s="1"/>
      <c r="CV82" s="1"/>
      <c r="CW82" s="2"/>
      <c r="CZ82" s="1"/>
      <c r="DA82" s="1"/>
      <c r="DB82" s="1"/>
      <c r="DC82" s="1"/>
      <c r="DD82" s="1"/>
      <c r="DE82" s="1"/>
      <c r="DF82" s="1"/>
      <c r="DG82" s="2"/>
    </row>
    <row r="83" spans="1:111" ht="14.65" customHeight="1" x14ac:dyDescent="0.25">
      <c r="A83" s="1"/>
      <c r="B83" s="1"/>
      <c r="C83" s="1"/>
      <c r="D83" s="1"/>
      <c r="E83" s="1"/>
      <c r="F83" s="1"/>
      <c r="G83" s="1" t="s">
        <v>108</v>
      </c>
      <c r="H83" s="137">
        <v>19.059999999999999</v>
      </c>
      <c r="I83" s="198">
        <v>0</v>
      </c>
      <c r="J83" s="198">
        <v>0</v>
      </c>
      <c r="K83" s="198">
        <v>0</v>
      </c>
      <c r="L83" s="90">
        <f t="shared" ref="L83:L87" si="55">SUM(H83:K83)</f>
        <v>19.059999999999999</v>
      </c>
      <c r="M83" s="104">
        <v>1500</v>
      </c>
      <c r="N83" s="92">
        <v>1500</v>
      </c>
      <c r="O83" s="93">
        <v>1000</v>
      </c>
      <c r="P83" s="142">
        <f t="shared" si="52"/>
        <v>1480.94</v>
      </c>
      <c r="Q83" s="131">
        <f t="shared" si="53"/>
        <v>980.94</v>
      </c>
      <c r="R83" s="132">
        <f t="shared" si="54"/>
        <v>-500</v>
      </c>
      <c r="T83" s="1"/>
      <c r="U83" s="2"/>
      <c r="W83" s="1"/>
      <c r="X83" s="1"/>
      <c r="Y83" s="1"/>
      <c r="Z83" s="1"/>
      <c r="AA83" s="1"/>
      <c r="AB83" s="1"/>
      <c r="AC83" s="1"/>
      <c r="AD83" s="1" t="s">
        <v>150</v>
      </c>
      <c r="AE83" s="2">
        <v>1921.66</v>
      </c>
      <c r="AH83" s="1"/>
      <c r="AI83" s="1"/>
      <c r="AJ83" s="1"/>
      <c r="AK83" s="1"/>
      <c r="AL83" s="1"/>
      <c r="AM83" s="1"/>
      <c r="AN83" s="1" t="s">
        <v>150</v>
      </c>
      <c r="AO83" s="2">
        <v>221.4</v>
      </c>
      <c r="AQ83" s="1"/>
      <c r="AR83" s="1"/>
      <c r="AS83" s="1"/>
      <c r="AT83" s="1"/>
      <c r="AU83" s="1"/>
      <c r="AV83" s="1"/>
      <c r="AW83" s="1"/>
      <c r="AX83" s="1" t="s">
        <v>150</v>
      </c>
      <c r="AY83" s="2">
        <v>190.99</v>
      </c>
      <c r="BB83" s="1"/>
      <c r="BC83" s="1"/>
      <c r="BD83" s="1"/>
      <c r="BE83" s="1"/>
      <c r="BF83" s="1"/>
      <c r="BG83" s="1"/>
      <c r="BH83" s="1" t="s">
        <v>150</v>
      </c>
      <c r="BI83" s="2">
        <v>190.99</v>
      </c>
      <c r="BK83" s="1"/>
      <c r="BL83" s="1"/>
      <c r="BM83" s="1"/>
      <c r="BN83" s="1"/>
      <c r="BO83" s="1"/>
      <c r="BP83" s="1"/>
      <c r="BQ83" s="1"/>
      <c r="BR83" s="1" t="s">
        <v>150</v>
      </c>
      <c r="BS83" s="2">
        <v>3500</v>
      </c>
      <c r="BV83" s="1"/>
      <c r="BW83" s="1"/>
      <c r="BX83" s="1"/>
      <c r="BY83" s="1"/>
      <c r="BZ83" s="1"/>
      <c r="CA83" s="1"/>
      <c r="CB83" s="1" t="s">
        <v>150</v>
      </c>
      <c r="CC83" s="2">
        <v>3500</v>
      </c>
      <c r="CF83" s="1"/>
      <c r="CG83" s="1"/>
      <c r="CH83" s="1"/>
      <c r="CI83" s="1"/>
      <c r="CJ83" s="1"/>
      <c r="CK83" s="1"/>
      <c r="CL83" s="1"/>
      <c r="CM83" s="2"/>
      <c r="CP83" s="1"/>
      <c r="CQ83" s="1"/>
      <c r="CR83" s="1"/>
      <c r="CS83" s="1"/>
      <c r="CT83" s="1"/>
      <c r="CU83" s="1"/>
      <c r="CV83" s="1"/>
      <c r="CW83" s="2"/>
      <c r="CZ83" s="1"/>
      <c r="DA83" s="1"/>
      <c r="DB83" s="1"/>
      <c r="DC83" s="1"/>
      <c r="DD83" s="1"/>
      <c r="DE83" s="1"/>
      <c r="DF83" s="1"/>
      <c r="DG83" s="2"/>
    </row>
    <row r="84" spans="1:111" ht="14.65" customHeight="1" x14ac:dyDescent="0.25">
      <c r="A84" s="1"/>
      <c r="B84" s="1"/>
      <c r="C84" s="1"/>
      <c r="D84" s="1"/>
      <c r="E84" s="1"/>
      <c r="F84" s="1"/>
      <c r="G84" s="1" t="s">
        <v>109</v>
      </c>
      <c r="H84" s="137">
        <v>0</v>
      </c>
      <c r="I84" s="198">
        <v>0</v>
      </c>
      <c r="J84" s="198">
        <v>0</v>
      </c>
      <c r="K84" s="198">
        <v>0</v>
      </c>
      <c r="L84" s="90">
        <f t="shared" si="55"/>
        <v>0</v>
      </c>
      <c r="M84" s="104">
        <v>400</v>
      </c>
      <c r="N84" s="92">
        <v>400</v>
      </c>
      <c r="O84" s="93">
        <v>400</v>
      </c>
      <c r="P84" s="142">
        <f t="shared" si="52"/>
        <v>400</v>
      </c>
      <c r="Q84" s="131">
        <f t="shared" si="53"/>
        <v>400</v>
      </c>
      <c r="R84" s="132">
        <f t="shared" si="54"/>
        <v>0</v>
      </c>
      <c r="T84" s="1"/>
      <c r="U84" s="2"/>
      <c r="W84" s="1"/>
      <c r="X84" s="1"/>
      <c r="Y84" s="1"/>
      <c r="Z84" s="1"/>
      <c r="AA84" s="1"/>
      <c r="AB84" s="1"/>
      <c r="AC84" s="1"/>
      <c r="AD84" s="1" t="s">
        <v>108</v>
      </c>
      <c r="AE84" s="2">
        <v>19.059999999999999</v>
      </c>
      <c r="AH84" s="1"/>
      <c r="AI84" s="1"/>
      <c r="AJ84" s="1"/>
      <c r="AK84" s="1"/>
      <c r="AL84" s="1"/>
      <c r="AM84" s="1"/>
      <c r="AN84" s="1" t="s">
        <v>108</v>
      </c>
      <c r="AO84" s="2">
        <v>0</v>
      </c>
      <c r="AQ84" s="1"/>
      <c r="AR84" s="1"/>
      <c r="AS84" s="1"/>
      <c r="AT84" s="1"/>
      <c r="AU84" s="1"/>
      <c r="AV84" s="1"/>
      <c r="AW84" s="1"/>
      <c r="AX84" s="1" t="s">
        <v>108</v>
      </c>
      <c r="AY84" s="2">
        <v>0</v>
      </c>
      <c r="BB84" s="1"/>
      <c r="BC84" s="1"/>
      <c r="BD84" s="1"/>
      <c r="BE84" s="1"/>
      <c r="BF84" s="1"/>
      <c r="BG84" s="1"/>
      <c r="BH84" s="1" t="s">
        <v>108</v>
      </c>
      <c r="BI84" s="2">
        <v>0</v>
      </c>
      <c r="BK84" s="1"/>
      <c r="BL84" s="1"/>
      <c r="BM84" s="1"/>
      <c r="BN84" s="1"/>
      <c r="BO84" s="1"/>
      <c r="BP84" s="1"/>
      <c r="BQ84" s="1"/>
      <c r="BR84" s="1" t="s">
        <v>108</v>
      </c>
      <c r="BS84" s="2">
        <v>1500</v>
      </c>
      <c r="BV84" s="1"/>
      <c r="BW84" s="1"/>
      <c r="BX84" s="1"/>
      <c r="BY84" s="1"/>
      <c r="BZ84" s="1"/>
      <c r="CA84" s="1"/>
      <c r="CB84" s="1" t="s">
        <v>108</v>
      </c>
      <c r="CC84" s="2">
        <v>1500</v>
      </c>
      <c r="CF84" s="1"/>
      <c r="CG84" s="1"/>
      <c r="CH84" s="1"/>
      <c r="CI84" s="1"/>
      <c r="CJ84" s="1"/>
      <c r="CK84" s="1"/>
      <c r="CL84" s="1"/>
      <c r="CM84" s="2"/>
      <c r="CP84" s="1"/>
      <c r="CQ84" s="1"/>
      <c r="CR84" s="1"/>
      <c r="CS84" s="1"/>
      <c r="CT84" s="1"/>
      <c r="CU84" s="1"/>
      <c r="CV84" s="1"/>
      <c r="CW84" s="2"/>
      <c r="CZ84" s="1"/>
      <c r="DA84" s="1"/>
      <c r="DB84" s="1"/>
      <c r="DC84" s="1"/>
      <c r="DD84" s="1"/>
      <c r="DE84" s="1"/>
      <c r="DF84" s="1"/>
      <c r="DG84" s="2"/>
    </row>
    <row r="85" spans="1:111" ht="14.65" customHeight="1" x14ac:dyDescent="0.25">
      <c r="A85" s="1"/>
      <c r="B85" s="1"/>
      <c r="C85" s="1"/>
      <c r="D85" s="1"/>
      <c r="E85" s="1"/>
      <c r="F85" s="1"/>
      <c r="G85" s="1" t="s">
        <v>152</v>
      </c>
      <c r="H85" s="137">
        <v>99.45</v>
      </c>
      <c r="I85" s="198">
        <v>11.05</v>
      </c>
      <c r="J85" s="198">
        <v>11.05</v>
      </c>
      <c r="K85" s="198">
        <v>11.05</v>
      </c>
      <c r="L85" s="90">
        <f t="shared" si="55"/>
        <v>132.6</v>
      </c>
      <c r="M85" s="104">
        <v>600</v>
      </c>
      <c r="N85" s="92">
        <v>600</v>
      </c>
      <c r="O85" s="93">
        <v>600</v>
      </c>
      <c r="P85" s="142">
        <f t="shared" si="52"/>
        <v>467.4</v>
      </c>
      <c r="Q85" s="131">
        <f t="shared" si="53"/>
        <v>467.4</v>
      </c>
      <c r="R85" s="132">
        <f t="shared" si="54"/>
        <v>0</v>
      </c>
      <c r="T85" s="1"/>
      <c r="U85" s="2"/>
      <c r="W85" s="1"/>
      <c r="X85" s="1"/>
      <c r="Y85" s="1"/>
      <c r="Z85" s="1"/>
      <c r="AA85" s="1"/>
      <c r="AB85" s="1"/>
      <c r="AC85" s="1"/>
      <c r="AD85" s="1" t="s">
        <v>109</v>
      </c>
      <c r="AE85" s="2">
        <v>0</v>
      </c>
      <c r="AH85" s="1"/>
      <c r="AI85" s="1"/>
      <c r="AJ85" s="1"/>
      <c r="AK85" s="1"/>
      <c r="AL85" s="1"/>
      <c r="AM85" s="1"/>
      <c r="AN85" s="1" t="s">
        <v>109</v>
      </c>
      <c r="AO85" s="2">
        <v>0</v>
      </c>
      <c r="AQ85" s="1"/>
      <c r="AR85" s="1"/>
      <c r="AS85" s="1"/>
      <c r="AT85" s="1"/>
      <c r="AU85" s="1"/>
      <c r="AV85" s="1"/>
      <c r="AW85" s="1"/>
      <c r="AX85" s="1" t="s">
        <v>109</v>
      </c>
      <c r="AY85" s="2">
        <v>0</v>
      </c>
      <c r="BB85" s="1"/>
      <c r="BC85" s="1"/>
      <c r="BD85" s="1"/>
      <c r="BE85" s="1"/>
      <c r="BF85" s="1"/>
      <c r="BG85" s="1"/>
      <c r="BH85" s="1" t="s">
        <v>109</v>
      </c>
      <c r="BI85" s="2">
        <v>0</v>
      </c>
      <c r="BK85" s="1"/>
      <c r="BL85" s="1"/>
      <c r="BM85" s="1"/>
      <c r="BN85" s="1"/>
      <c r="BO85" s="1"/>
      <c r="BP85" s="1"/>
      <c r="BQ85" s="1"/>
      <c r="BR85" s="1" t="s">
        <v>109</v>
      </c>
      <c r="BS85" s="2">
        <v>400</v>
      </c>
      <c r="BV85" s="1"/>
      <c r="BW85" s="1"/>
      <c r="BX85" s="1"/>
      <c r="BY85" s="1"/>
      <c r="BZ85" s="1"/>
      <c r="CA85" s="1"/>
      <c r="CB85" s="1" t="s">
        <v>109</v>
      </c>
      <c r="CC85" s="2">
        <v>400</v>
      </c>
      <c r="CF85" s="1"/>
      <c r="CG85" s="1"/>
      <c r="CH85" s="1"/>
      <c r="CI85" s="1"/>
      <c r="CJ85" s="1"/>
      <c r="CK85" s="1"/>
      <c r="CL85" s="1"/>
      <c r="CM85" s="2"/>
      <c r="CP85" s="1"/>
      <c r="CQ85" s="1"/>
      <c r="CR85" s="1"/>
      <c r="CS85" s="1"/>
      <c r="CT85" s="1"/>
      <c r="CU85" s="1"/>
      <c r="CV85" s="1"/>
      <c r="CW85" s="2"/>
      <c r="CZ85" s="1"/>
      <c r="DA85" s="1"/>
      <c r="DB85" s="1"/>
      <c r="DC85" s="1"/>
      <c r="DD85" s="1"/>
      <c r="DE85" s="1"/>
      <c r="DF85" s="1"/>
      <c r="DG85" s="2"/>
    </row>
    <row r="86" spans="1:111" ht="14.65" customHeight="1" x14ac:dyDescent="0.25">
      <c r="A86" s="1"/>
      <c r="B86" s="1"/>
      <c r="C86" s="1"/>
      <c r="D86" s="1"/>
      <c r="E86" s="1"/>
      <c r="F86" s="1"/>
      <c r="G86" s="1" t="s">
        <v>121</v>
      </c>
      <c r="H86" s="137">
        <v>251.99</v>
      </c>
      <c r="I86" s="198">
        <v>0</v>
      </c>
      <c r="J86" s="198">
        <v>0</v>
      </c>
      <c r="K86" s="198">
        <v>38.5</v>
      </c>
      <c r="L86" s="90">
        <f t="shared" si="55"/>
        <v>290.49</v>
      </c>
      <c r="M86" s="104">
        <v>1000</v>
      </c>
      <c r="N86" s="92">
        <v>1000</v>
      </c>
      <c r="O86" s="93">
        <v>500</v>
      </c>
      <c r="P86" s="142">
        <f t="shared" si="52"/>
        <v>709.51</v>
      </c>
      <c r="Q86" s="131">
        <f t="shared" si="53"/>
        <v>209.51</v>
      </c>
      <c r="R86" s="132">
        <f t="shared" si="54"/>
        <v>-500</v>
      </c>
      <c r="T86" s="1"/>
      <c r="U86" s="2"/>
      <c r="W86" s="1"/>
      <c r="X86" s="1"/>
      <c r="Y86" s="1"/>
      <c r="Z86" s="1"/>
      <c r="AA86" s="1"/>
      <c r="AB86" s="1"/>
      <c r="AC86" s="1"/>
      <c r="AD86" s="1" t="s">
        <v>125</v>
      </c>
      <c r="AE86" s="2">
        <v>99.45</v>
      </c>
      <c r="AH86" s="1"/>
      <c r="AI86" s="1"/>
      <c r="AJ86" s="1"/>
      <c r="AK86" s="1"/>
      <c r="AL86" s="1"/>
      <c r="AM86" s="1"/>
      <c r="AN86" s="1" t="s">
        <v>125</v>
      </c>
      <c r="AO86" s="2">
        <v>11.05</v>
      </c>
      <c r="AQ86" s="1"/>
      <c r="AR86" s="1"/>
      <c r="AS86" s="1"/>
      <c r="AT86" s="1"/>
      <c r="AU86" s="1"/>
      <c r="AV86" s="1"/>
      <c r="AW86" s="1"/>
      <c r="AX86" s="1" t="s">
        <v>125</v>
      </c>
      <c r="AY86" s="2">
        <v>11.05</v>
      </c>
      <c r="BB86" s="1"/>
      <c r="BC86" s="1"/>
      <c r="BD86" s="1"/>
      <c r="BE86" s="1"/>
      <c r="BF86" s="1"/>
      <c r="BG86" s="1"/>
      <c r="BH86" s="1" t="s">
        <v>125</v>
      </c>
      <c r="BI86" s="2">
        <v>11.05</v>
      </c>
      <c r="BK86" s="1"/>
      <c r="BL86" s="1"/>
      <c r="BM86" s="1"/>
      <c r="BN86" s="1"/>
      <c r="BO86" s="1"/>
      <c r="BP86" s="1"/>
      <c r="BQ86" s="1"/>
      <c r="BR86" s="1" t="s">
        <v>125</v>
      </c>
      <c r="BS86" s="2">
        <v>600</v>
      </c>
      <c r="BV86" s="1"/>
      <c r="BW86" s="1"/>
      <c r="BX86" s="1"/>
      <c r="BY86" s="1"/>
      <c r="BZ86" s="1"/>
      <c r="CA86" s="1"/>
      <c r="CB86" s="1" t="s">
        <v>125</v>
      </c>
      <c r="CC86" s="2">
        <v>600</v>
      </c>
      <c r="CF86" s="1"/>
      <c r="CG86" s="1"/>
      <c r="CH86" s="1"/>
      <c r="CI86" s="1"/>
      <c r="CJ86" s="1"/>
      <c r="CK86" s="1"/>
      <c r="CL86" s="1"/>
      <c r="CM86" s="2"/>
      <c r="CP86" s="1"/>
      <c r="CQ86" s="1"/>
      <c r="CR86" s="1"/>
      <c r="CS86" s="1"/>
      <c r="CT86" s="1"/>
      <c r="CU86" s="1"/>
      <c r="CV86" s="1"/>
      <c r="CW86" s="2"/>
      <c r="CZ86" s="1"/>
      <c r="DA86" s="1"/>
      <c r="DB86" s="1"/>
      <c r="DC86" s="1"/>
      <c r="DD86" s="1"/>
      <c r="DE86" s="1"/>
      <c r="DF86" s="1"/>
      <c r="DG86" s="2"/>
    </row>
    <row r="87" spans="1:111" ht="14.65" customHeight="1" thickBot="1" x14ac:dyDescent="0.3">
      <c r="A87" s="1"/>
      <c r="B87" s="69"/>
      <c r="C87" s="69"/>
      <c r="D87" s="69"/>
      <c r="E87" s="69"/>
      <c r="F87" s="69"/>
      <c r="G87" s="70" t="s">
        <v>58</v>
      </c>
      <c r="H87" s="138">
        <v>2685.75</v>
      </c>
      <c r="I87" s="200">
        <v>0</v>
      </c>
      <c r="J87" s="200">
        <v>0</v>
      </c>
      <c r="K87" s="200">
        <v>0</v>
      </c>
      <c r="L87" s="94">
        <f t="shared" si="55"/>
        <v>2685.75</v>
      </c>
      <c r="M87" s="105">
        <v>2200</v>
      </c>
      <c r="N87" s="106">
        <v>2200</v>
      </c>
      <c r="O87" s="107">
        <v>2500</v>
      </c>
      <c r="P87" s="143">
        <f t="shared" si="52"/>
        <v>-485.75</v>
      </c>
      <c r="Q87" s="133">
        <f t="shared" si="53"/>
        <v>-185.75</v>
      </c>
      <c r="R87" s="134">
        <f t="shared" si="54"/>
        <v>300</v>
      </c>
      <c r="T87" s="1"/>
      <c r="U87" s="2"/>
      <c r="W87" s="1"/>
      <c r="X87" s="1"/>
      <c r="Y87" s="1"/>
      <c r="Z87" s="1"/>
      <c r="AA87" s="1"/>
      <c r="AB87" s="1"/>
      <c r="AC87" s="1"/>
      <c r="AD87" s="1" t="s">
        <v>121</v>
      </c>
      <c r="AE87" s="2">
        <v>251.99</v>
      </c>
      <c r="AH87" s="1"/>
      <c r="AI87" s="1"/>
      <c r="AJ87" s="1"/>
      <c r="AK87" s="1"/>
      <c r="AL87" s="1"/>
      <c r="AM87" s="1"/>
      <c r="AN87" s="1" t="s">
        <v>121</v>
      </c>
      <c r="AO87" s="2">
        <v>0</v>
      </c>
      <c r="AQ87" s="1"/>
      <c r="AR87" s="1"/>
      <c r="AS87" s="1"/>
      <c r="AT87" s="1"/>
      <c r="AU87" s="1"/>
      <c r="AV87" s="1"/>
      <c r="AW87" s="1"/>
      <c r="AX87" s="1" t="s">
        <v>121</v>
      </c>
      <c r="AY87" s="2">
        <v>0</v>
      </c>
      <c r="BB87" s="1"/>
      <c r="BC87" s="1"/>
      <c r="BD87" s="1"/>
      <c r="BE87" s="1"/>
      <c r="BF87" s="1"/>
      <c r="BG87" s="1"/>
      <c r="BH87" s="1" t="s">
        <v>121</v>
      </c>
      <c r="BI87" s="2">
        <v>38.5</v>
      </c>
      <c r="BK87" s="1"/>
      <c r="BL87" s="1"/>
      <c r="BM87" s="1"/>
      <c r="BN87" s="1"/>
      <c r="BO87" s="1"/>
      <c r="BP87" s="1"/>
      <c r="BQ87" s="1"/>
      <c r="BR87" s="1" t="s">
        <v>121</v>
      </c>
      <c r="BS87" s="2">
        <v>1000</v>
      </c>
      <c r="BV87" s="1"/>
      <c r="BW87" s="1"/>
      <c r="BX87" s="1"/>
      <c r="BY87" s="1"/>
      <c r="BZ87" s="1"/>
      <c r="CA87" s="1"/>
      <c r="CB87" s="1" t="s">
        <v>121</v>
      </c>
      <c r="CC87" s="2">
        <v>1000</v>
      </c>
      <c r="CF87" s="1"/>
      <c r="CG87" s="1"/>
      <c r="CH87" s="1"/>
      <c r="CI87" s="1"/>
      <c r="CJ87" s="1"/>
      <c r="CK87" s="1"/>
      <c r="CL87" s="1"/>
      <c r="CM87" s="2"/>
      <c r="CP87" s="1"/>
      <c r="CQ87" s="1"/>
      <c r="CR87" s="1"/>
      <c r="CS87" s="1"/>
      <c r="CT87" s="1"/>
      <c r="CU87" s="1"/>
      <c r="CV87" s="1"/>
      <c r="CW87" s="2"/>
      <c r="CZ87" s="1"/>
      <c r="DA87" s="1"/>
      <c r="DB87" s="1"/>
      <c r="DC87" s="1"/>
      <c r="DD87" s="1"/>
      <c r="DE87" s="1"/>
      <c r="DF87" s="1"/>
      <c r="DG87" s="2"/>
    </row>
    <row r="88" spans="1:111" ht="14.65" customHeight="1" thickBot="1" x14ac:dyDescent="0.3">
      <c r="A88" s="1"/>
      <c r="B88" s="18"/>
      <c r="C88" s="18"/>
      <c r="D88" s="18"/>
      <c r="E88" s="18"/>
      <c r="F88" s="18" t="s">
        <v>59</v>
      </c>
      <c r="G88" s="18"/>
      <c r="H88" s="54">
        <f>ROUND(SUM(H81:H87),5)</f>
        <v>4977.91</v>
      </c>
      <c r="I88" s="36">
        <f t="shared" ref="I88:R88" si="56">ROUND(SUM(I81:I87),5)</f>
        <v>232.45</v>
      </c>
      <c r="J88" s="36">
        <f t="shared" si="56"/>
        <v>202.04</v>
      </c>
      <c r="K88" s="36">
        <f t="shared" si="56"/>
        <v>240.54</v>
      </c>
      <c r="L88" s="109">
        <f t="shared" si="56"/>
        <v>5652.94</v>
      </c>
      <c r="M88" s="108">
        <f t="shared" si="56"/>
        <v>9200</v>
      </c>
      <c r="N88" s="109">
        <f t="shared" si="56"/>
        <v>9200</v>
      </c>
      <c r="O88" s="97">
        <f t="shared" si="56"/>
        <v>8000</v>
      </c>
      <c r="P88" s="109">
        <f t="shared" si="56"/>
        <v>3547.06</v>
      </c>
      <c r="Q88" s="109">
        <f t="shared" si="56"/>
        <v>2347.06</v>
      </c>
      <c r="R88" s="110">
        <f t="shared" si="56"/>
        <v>-1200</v>
      </c>
      <c r="T88" s="1"/>
      <c r="U88" s="2"/>
      <c r="W88" s="1"/>
      <c r="X88" s="1"/>
      <c r="Y88" s="1"/>
      <c r="Z88" s="1"/>
      <c r="AA88" s="1"/>
      <c r="AB88" s="1"/>
      <c r="AC88" s="1"/>
      <c r="AD88" s="1" t="s">
        <v>58</v>
      </c>
      <c r="AE88" s="17">
        <v>2685.75</v>
      </c>
      <c r="AH88" s="1"/>
      <c r="AI88" s="1"/>
      <c r="AJ88" s="1"/>
      <c r="AK88" s="1"/>
      <c r="AL88" s="1"/>
      <c r="AM88" s="1"/>
      <c r="AN88" s="1" t="s">
        <v>58</v>
      </c>
      <c r="AO88" s="17">
        <v>0</v>
      </c>
      <c r="AQ88" s="1"/>
      <c r="AR88" s="1"/>
      <c r="AS88" s="1"/>
      <c r="AT88" s="1"/>
      <c r="AU88" s="1"/>
      <c r="AV88" s="1"/>
      <c r="AW88" s="1"/>
      <c r="AX88" s="1" t="s">
        <v>58</v>
      </c>
      <c r="AY88" s="17">
        <v>0</v>
      </c>
      <c r="BB88" s="1"/>
      <c r="BC88" s="1"/>
      <c r="BD88" s="1"/>
      <c r="BE88" s="1"/>
      <c r="BF88" s="1"/>
      <c r="BG88" s="1"/>
      <c r="BH88" s="1" t="s">
        <v>58</v>
      </c>
      <c r="BI88" s="17">
        <v>0</v>
      </c>
      <c r="BK88" s="1"/>
      <c r="BL88" s="1"/>
      <c r="BM88" s="1"/>
      <c r="BN88" s="1"/>
      <c r="BO88" s="1"/>
      <c r="BP88" s="1"/>
      <c r="BQ88" s="1"/>
      <c r="BR88" s="1" t="s">
        <v>58</v>
      </c>
      <c r="BS88" s="17">
        <v>2200</v>
      </c>
      <c r="BV88" s="1"/>
      <c r="BW88" s="1"/>
      <c r="BX88" s="1"/>
      <c r="BY88" s="1"/>
      <c r="BZ88" s="1"/>
      <c r="CA88" s="1"/>
      <c r="CB88" s="1" t="s">
        <v>58</v>
      </c>
      <c r="CC88" s="17">
        <v>2200</v>
      </c>
      <c r="CF88" s="1"/>
      <c r="CG88" s="1"/>
      <c r="CH88" s="1"/>
      <c r="CI88" s="1"/>
      <c r="CJ88" s="1"/>
      <c r="CK88" s="1"/>
      <c r="CL88" s="1"/>
      <c r="CM88" s="2"/>
      <c r="CP88" s="1"/>
      <c r="CQ88" s="1"/>
      <c r="CR88" s="1"/>
      <c r="CS88" s="1"/>
      <c r="CT88" s="1"/>
      <c r="CU88" s="1"/>
      <c r="CV88" s="1"/>
      <c r="CW88" s="2"/>
      <c r="CZ88" s="1"/>
      <c r="DA88" s="1"/>
      <c r="DB88" s="1"/>
      <c r="DC88" s="1"/>
      <c r="DD88" s="1"/>
      <c r="DE88" s="1"/>
      <c r="DF88" s="1"/>
      <c r="DG88" s="2"/>
    </row>
    <row r="89" spans="1:111" ht="14.65" customHeight="1" x14ac:dyDescent="0.25">
      <c r="A89" s="1"/>
      <c r="B89" s="1"/>
      <c r="C89" s="1"/>
      <c r="D89" s="1"/>
      <c r="E89" s="1"/>
      <c r="F89" s="1" t="s">
        <v>154</v>
      </c>
      <c r="G89" s="1"/>
      <c r="H89" s="53"/>
      <c r="I89" s="35"/>
      <c r="J89" s="35"/>
      <c r="K89" s="35"/>
      <c r="L89" s="102"/>
      <c r="M89" s="101"/>
      <c r="N89" s="102"/>
      <c r="O89" s="103"/>
      <c r="P89" s="102"/>
      <c r="Q89" s="102"/>
      <c r="R89" s="103"/>
      <c r="T89" s="1"/>
      <c r="U89" s="2"/>
      <c r="W89" s="1"/>
      <c r="X89" s="1"/>
      <c r="Y89" s="1"/>
      <c r="Z89" s="1"/>
      <c r="AA89" s="1"/>
      <c r="AB89" s="1"/>
      <c r="AC89" s="1" t="s">
        <v>59</v>
      </c>
      <c r="AD89" s="1"/>
      <c r="AE89" s="2">
        <f>ROUND(SUM(AE82:AE88),5)</f>
        <v>4977.91</v>
      </c>
      <c r="AH89" s="1"/>
      <c r="AI89" s="1"/>
      <c r="AJ89" s="1"/>
      <c r="AK89" s="1"/>
      <c r="AL89" s="1"/>
      <c r="AM89" s="1" t="s">
        <v>59</v>
      </c>
      <c r="AN89" s="1"/>
      <c r="AO89" s="2">
        <f>ROUND(SUM(AO82:AO88),5)</f>
        <v>232.45</v>
      </c>
      <c r="AQ89" s="1"/>
      <c r="AR89" s="1"/>
      <c r="AS89" s="1"/>
      <c r="AT89" s="1"/>
      <c r="AU89" s="1"/>
      <c r="AV89" s="1"/>
      <c r="AW89" s="1" t="s">
        <v>59</v>
      </c>
      <c r="AX89" s="1"/>
      <c r="AY89" s="2">
        <f>ROUND(SUM(AY82:AY88),5)</f>
        <v>202.04</v>
      </c>
      <c r="BB89" s="1"/>
      <c r="BC89" s="1"/>
      <c r="BD89" s="1"/>
      <c r="BE89" s="1"/>
      <c r="BF89" s="1"/>
      <c r="BG89" s="1" t="s">
        <v>59</v>
      </c>
      <c r="BH89" s="1"/>
      <c r="BI89" s="2">
        <f>ROUND(SUM(BI82:BI88),5)</f>
        <v>240.54</v>
      </c>
      <c r="BK89" s="1"/>
      <c r="BL89" s="1"/>
      <c r="BM89" s="1"/>
      <c r="BN89" s="1"/>
      <c r="BO89" s="1"/>
      <c r="BP89" s="1"/>
      <c r="BQ89" s="1" t="s">
        <v>59</v>
      </c>
      <c r="BR89" s="1"/>
      <c r="BS89" s="2">
        <f>ROUND(SUM(BS82:BS88),5)</f>
        <v>9200</v>
      </c>
      <c r="BV89" s="1"/>
      <c r="BW89" s="1"/>
      <c r="BX89" s="1"/>
      <c r="BY89" s="1"/>
      <c r="BZ89" s="1"/>
      <c r="CA89" s="1" t="s">
        <v>59</v>
      </c>
      <c r="CB89" s="1"/>
      <c r="CC89" s="2">
        <f>ROUND(SUM(CC82:CC88),5)</f>
        <v>9200</v>
      </c>
      <c r="CF89" s="1"/>
      <c r="CG89" s="1"/>
      <c r="CH89" s="1"/>
      <c r="CI89" s="1"/>
      <c r="CJ89" s="1"/>
      <c r="CK89" s="1"/>
      <c r="CL89" s="1"/>
      <c r="CM89" s="2"/>
      <c r="CP89" s="1"/>
      <c r="CQ89" s="1"/>
      <c r="CR89" s="1"/>
      <c r="CS89" s="1"/>
      <c r="CT89" s="1"/>
      <c r="CU89" s="1"/>
      <c r="CV89" s="1"/>
      <c r="CW89" s="2"/>
      <c r="CZ89" s="1"/>
      <c r="DA89" s="1"/>
      <c r="DB89" s="1"/>
      <c r="DC89" s="1"/>
      <c r="DD89" s="1"/>
      <c r="DE89" s="1"/>
      <c r="DF89" s="1"/>
      <c r="DG89" s="2"/>
    </row>
    <row r="90" spans="1:111" ht="14.65" customHeight="1" x14ac:dyDescent="0.25">
      <c r="A90" s="1"/>
      <c r="B90" s="1"/>
      <c r="C90" s="1"/>
      <c r="D90" s="1"/>
      <c r="E90" s="1"/>
      <c r="F90" s="1"/>
      <c r="G90" s="1" t="s">
        <v>61</v>
      </c>
      <c r="H90" s="137">
        <v>1400</v>
      </c>
      <c r="I90" s="198">
        <v>-78</v>
      </c>
      <c r="J90" s="198">
        <v>0</v>
      </c>
      <c r="K90" s="198">
        <v>678</v>
      </c>
      <c r="L90" s="90">
        <f>SUM(H90:K90)</f>
        <v>2000</v>
      </c>
      <c r="M90" s="104">
        <v>3000</v>
      </c>
      <c r="N90" s="92">
        <v>2000</v>
      </c>
      <c r="O90" s="93">
        <v>2000</v>
      </c>
      <c r="P90" s="142">
        <f t="shared" ref="P90:P99" si="57">N90-L90</f>
        <v>0</v>
      </c>
      <c r="Q90" s="131">
        <f t="shared" ref="Q90:Q99" si="58">O90-L90</f>
        <v>0</v>
      </c>
      <c r="R90" s="132">
        <f t="shared" ref="R90:R99" si="59">O90-N90</f>
        <v>0</v>
      </c>
      <c r="T90" s="1"/>
      <c r="U90" s="2"/>
      <c r="W90" s="1"/>
      <c r="X90" s="1"/>
      <c r="Y90" s="1"/>
      <c r="Z90" s="1"/>
      <c r="AA90" s="1"/>
      <c r="AB90" s="1"/>
      <c r="AC90" s="1" t="s">
        <v>60</v>
      </c>
      <c r="AD90" s="1"/>
      <c r="AE90" s="2"/>
      <c r="AH90" s="1"/>
      <c r="AI90" s="1"/>
      <c r="AJ90" s="1"/>
      <c r="AK90" s="1"/>
      <c r="AL90" s="1"/>
      <c r="AM90" s="1" t="s">
        <v>60</v>
      </c>
      <c r="AN90" s="1"/>
      <c r="AO90" s="2"/>
      <c r="AQ90" s="1"/>
      <c r="AR90" s="1"/>
      <c r="AS90" s="1"/>
      <c r="AT90" s="1"/>
      <c r="AU90" s="1"/>
      <c r="AV90" s="1"/>
      <c r="AW90" s="1" t="s">
        <v>60</v>
      </c>
      <c r="AX90" s="1"/>
      <c r="AY90" s="2"/>
      <c r="BB90" s="1"/>
      <c r="BC90" s="1"/>
      <c r="BD90" s="1"/>
      <c r="BE90" s="1"/>
      <c r="BF90" s="1"/>
      <c r="BG90" s="1" t="s">
        <v>60</v>
      </c>
      <c r="BH90" s="1"/>
      <c r="BI90" s="2"/>
      <c r="BK90" s="1"/>
      <c r="BL90" s="1"/>
      <c r="BM90" s="1"/>
      <c r="BN90" s="1"/>
      <c r="BO90" s="1"/>
      <c r="BP90" s="1"/>
      <c r="BQ90" s="1" t="s">
        <v>60</v>
      </c>
      <c r="BR90" s="1"/>
      <c r="BS90" s="2"/>
      <c r="BV90" s="1"/>
      <c r="BW90" s="1"/>
      <c r="BX90" s="1"/>
      <c r="BY90" s="1"/>
      <c r="BZ90" s="1"/>
      <c r="CA90" s="1" t="s">
        <v>60</v>
      </c>
      <c r="CB90" s="1"/>
      <c r="CC90" s="2"/>
      <c r="CF90" s="1"/>
      <c r="CG90" s="1"/>
      <c r="CH90" s="1"/>
      <c r="CI90" s="1"/>
      <c r="CJ90" s="1"/>
      <c r="CK90" s="1"/>
      <c r="CL90" s="1"/>
      <c r="CM90" s="2"/>
      <c r="CP90" s="1"/>
      <c r="CQ90" s="1"/>
      <c r="CR90" s="1"/>
      <c r="CS90" s="1"/>
      <c r="CT90" s="1"/>
      <c r="CU90" s="1"/>
      <c r="CV90" s="1"/>
      <c r="CW90" s="2"/>
      <c r="CZ90" s="1"/>
      <c r="DA90" s="1"/>
      <c r="DB90" s="1"/>
      <c r="DC90" s="1"/>
      <c r="DD90" s="1"/>
      <c r="DE90" s="1"/>
      <c r="DF90" s="1"/>
      <c r="DG90" s="2"/>
    </row>
    <row r="91" spans="1:111" ht="14.65" customHeight="1" x14ac:dyDescent="0.25">
      <c r="A91" s="1"/>
      <c r="B91" s="1"/>
      <c r="C91" s="1"/>
      <c r="D91" s="1"/>
      <c r="E91" s="1"/>
      <c r="F91" s="1"/>
      <c r="G91" s="1" t="s">
        <v>62</v>
      </c>
      <c r="H91" s="137">
        <v>27189</v>
      </c>
      <c r="I91" s="198">
        <v>3021</v>
      </c>
      <c r="J91" s="198">
        <v>3021</v>
      </c>
      <c r="K91" s="198">
        <v>3021</v>
      </c>
      <c r="L91" s="90">
        <f t="shared" ref="L91:L99" si="60">SUM(H91:K91)</f>
        <v>36252</v>
      </c>
      <c r="M91" s="104">
        <v>36252</v>
      </c>
      <c r="N91" s="92">
        <v>36252</v>
      </c>
      <c r="O91" s="93">
        <v>36252</v>
      </c>
      <c r="P91" s="142">
        <f t="shared" si="57"/>
        <v>0</v>
      </c>
      <c r="Q91" s="131">
        <f t="shared" si="58"/>
        <v>0</v>
      </c>
      <c r="R91" s="132">
        <f t="shared" si="59"/>
        <v>0</v>
      </c>
      <c r="T91" s="1"/>
      <c r="U91" s="2"/>
      <c r="W91" s="1"/>
      <c r="X91" s="1"/>
      <c r="Y91" s="1"/>
      <c r="Z91" s="1"/>
      <c r="AA91" s="1"/>
      <c r="AB91" s="1"/>
      <c r="AC91" s="1"/>
      <c r="AD91" s="1" t="s">
        <v>61</v>
      </c>
      <c r="AE91" s="2">
        <v>1400</v>
      </c>
      <c r="AH91" s="1"/>
      <c r="AI91" s="1"/>
      <c r="AJ91" s="1"/>
      <c r="AK91" s="1"/>
      <c r="AL91" s="1"/>
      <c r="AM91" s="1"/>
      <c r="AN91" s="1" t="s">
        <v>61</v>
      </c>
      <c r="AO91" s="2">
        <v>-78</v>
      </c>
      <c r="AQ91" s="1"/>
      <c r="AR91" s="1"/>
      <c r="AS91" s="1"/>
      <c r="AT91" s="1"/>
      <c r="AU91" s="1"/>
      <c r="AV91" s="1"/>
      <c r="AW91" s="1"/>
      <c r="AX91" s="1" t="s">
        <v>61</v>
      </c>
      <c r="AY91" s="2">
        <v>0</v>
      </c>
      <c r="BB91" s="1"/>
      <c r="BC91" s="1"/>
      <c r="BD91" s="1"/>
      <c r="BE91" s="1"/>
      <c r="BF91" s="1"/>
      <c r="BG91" s="1"/>
      <c r="BH91" s="1" t="s">
        <v>61</v>
      </c>
      <c r="BI91" s="2">
        <v>2500</v>
      </c>
      <c r="BK91" s="1"/>
      <c r="BL91" s="1"/>
      <c r="BM91" s="1"/>
      <c r="BN91" s="1"/>
      <c r="BO91" s="1"/>
      <c r="BP91" s="1"/>
      <c r="BQ91" s="1"/>
      <c r="BR91" s="1" t="s">
        <v>61</v>
      </c>
      <c r="BS91" s="2">
        <v>3000</v>
      </c>
      <c r="BV91" s="1"/>
      <c r="BW91" s="1"/>
      <c r="BX91" s="1"/>
      <c r="BY91" s="1"/>
      <c r="BZ91" s="1"/>
      <c r="CA91" s="1"/>
      <c r="CB91" s="1" t="s">
        <v>61</v>
      </c>
      <c r="CC91" s="2">
        <v>2000</v>
      </c>
      <c r="CF91" s="1"/>
      <c r="CG91" s="1"/>
      <c r="CH91" s="1"/>
      <c r="CI91" s="1"/>
      <c r="CJ91" s="1"/>
      <c r="CK91" s="1"/>
      <c r="CL91" s="1"/>
      <c r="CM91" s="2"/>
      <c r="CP91" s="1"/>
      <c r="CQ91" s="1"/>
      <c r="CR91" s="1"/>
      <c r="CS91" s="1"/>
      <c r="CT91" s="1"/>
      <c r="CU91" s="1"/>
      <c r="CV91" s="1"/>
      <c r="CW91" s="2"/>
      <c r="CZ91" s="1"/>
      <c r="DA91" s="1"/>
      <c r="DB91" s="1"/>
      <c r="DC91" s="1"/>
      <c r="DD91" s="1"/>
      <c r="DE91" s="1"/>
      <c r="DF91" s="1"/>
      <c r="DG91" s="2"/>
    </row>
    <row r="92" spans="1:111" ht="14.65" customHeight="1" x14ac:dyDescent="0.25">
      <c r="A92" s="1"/>
      <c r="B92" s="1"/>
      <c r="C92" s="1"/>
      <c r="D92" s="1"/>
      <c r="E92" s="1"/>
      <c r="F92" s="1"/>
      <c r="G92" s="1" t="s">
        <v>63</v>
      </c>
      <c r="H92" s="137">
        <v>18250.490000000002</v>
      </c>
      <c r="I92" s="198">
        <v>2000</v>
      </c>
      <c r="J92" s="198">
        <v>2000</v>
      </c>
      <c r="K92" s="198">
        <v>2000</v>
      </c>
      <c r="L92" s="90">
        <f t="shared" si="60"/>
        <v>24250.49</v>
      </c>
      <c r="M92" s="104">
        <v>24000</v>
      </c>
      <c r="N92" s="92">
        <v>24000</v>
      </c>
      <c r="O92" s="93">
        <v>24000</v>
      </c>
      <c r="P92" s="142">
        <f t="shared" si="57"/>
        <v>-250.4900000000016</v>
      </c>
      <c r="Q92" s="131">
        <f t="shared" si="58"/>
        <v>-250.4900000000016</v>
      </c>
      <c r="R92" s="132">
        <f t="shared" si="59"/>
        <v>0</v>
      </c>
      <c r="T92" s="1" t="s">
        <v>256</v>
      </c>
      <c r="U92" s="2"/>
      <c r="W92" s="1"/>
      <c r="X92" s="1"/>
      <c r="Y92" s="1"/>
      <c r="Z92" s="1"/>
      <c r="AA92" s="1"/>
      <c r="AB92" s="1"/>
      <c r="AC92" s="1"/>
      <c r="AD92" s="1" t="s">
        <v>62</v>
      </c>
      <c r="AE92" s="2">
        <v>27189</v>
      </c>
      <c r="AH92" s="1"/>
      <c r="AI92" s="1"/>
      <c r="AJ92" s="1"/>
      <c r="AK92" s="1"/>
      <c r="AL92" s="1"/>
      <c r="AM92" s="1"/>
      <c r="AN92" s="1" t="s">
        <v>62</v>
      </c>
      <c r="AO92" s="2">
        <v>3021</v>
      </c>
      <c r="AQ92" s="1"/>
      <c r="AR92" s="1"/>
      <c r="AS92" s="1"/>
      <c r="AT92" s="1"/>
      <c r="AU92" s="1"/>
      <c r="AV92" s="1"/>
      <c r="AW92" s="1"/>
      <c r="AX92" s="1" t="s">
        <v>62</v>
      </c>
      <c r="AY92" s="2">
        <v>3021</v>
      </c>
      <c r="BB92" s="1"/>
      <c r="BC92" s="1"/>
      <c r="BD92" s="1"/>
      <c r="BE92" s="1"/>
      <c r="BF92" s="1"/>
      <c r="BG92" s="1"/>
      <c r="BH92" s="1" t="s">
        <v>62</v>
      </c>
      <c r="BI92" s="2">
        <v>3021</v>
      </c>
      <c r="BK92" s="1"/>
      <c r="BL92" s="1"/>
      <c r="BM92" s="1"/>
      <c r="BN92" s="1"/>
      <c r="BO92" s="1"/>
      <c r="BP92" s="1"/>
      <c r="BQ92" s="1"/>
      <c r="BR92" s="1" t="s">
        <v>62</v>
      </c>
      <c r="BS92" s="2">
        <v>36252</v>
      </c>
      <c r="BV92" s="1"/>
      <c r="BW92" s="1"/>
      <c r="BX92" s="1"/>
      <c r="BY92" s="1"/>
      <c r="BZ92" s="1"/>
      <c r="CA92" s="1"/>
      <c r="CB92" s="1" t="s">
        <v>62</v>
      </c>
      <c r="CC92" s="2">
        <v>36252</v>
      </c>
      <c r="CF92" s="1"/>
      <c r="CG92" s="1"/>
      <c r="CH92" s="1"/>
      <c r="CI92" s="1"/>
      <c r="CJ92" s="1"/>
      <c r="CK92" s="1"/>
      <c r="CL92" s="1"/>
      <c r="CM92" s="2"/>
      <c r="CP92" s="1"/>
      <c r="CQ92" s="1"/>
      <c r="CR92" s="1"/>
      <c r="CS92" s="1"/>
      <c r="CT92" s="1"/>
      <c r="CU92" s="1"/>
      <c r="CV92" s="1"/>
      <c r="CW92" s="2"/>
      <c r="CZ92" s="1"/>
      <c r="DA92" s="1"/>
      <c r="DB92" s="1"/>
      <c r="DC92" s="1"/>
      <c r="DD92" s="1"/>
      <c r="DE92" s="1"/>
      <c r="DF92" s="1"/>
      <c r="DG92" s="2"/>
    </row>
    <row r="93" spans="1:111" ht="14.65" customHeight="1" x14ac:dyDescent="0.25">
      <c r="A93" s="1"/>
      <c r="B93" s="1"/>
      <c r="C93" s="1"/>
      <c r="D93" s="1"/>
      <c r="E93" s="1"/>
      <c r="F93" s="1"/>
      <c r="G93" s="1" t="s">
        <v>64</v>
      </c>
      <c r="H93" s="137">
        <v>2664</v>
      </c>
      <c r="I93" s="198">
        <v>333</v>
      </c>
      <c r="J93" s="198">
        <v>333</v>
      </c>
      <c r="K93" s="198">
        <v>333</v>
      </c>
      <c r="L93" s="90">
        <f t="shared" si="60"/>
        <v>3663</v>
      </c>
      <c r="M93" s="104">
        <v>3996</v>
      </c>
      <c r="N93" s="92">
        <v>3996</v>
      </c>
      <c r="O93" s="93">
        <v>3996</v>
      </c>
      <c r="P93" s="142">
        <f t="shared" si="57"/>
        <v>333</v>
      </c>
      <c r="Q93" s="131">
        <f t="shared" si="58"/>
        <v>333</v>
      </c>
      <c r="R93" s="132">
        <f t="shared" si="59"/>
        <v>0</v>
      </c>
      <c r="T93" s="5"/>
      <c r="U93" s="2"/>
      <c r="W93" s="1"/>
      <c r="X93" s="1"/>
      <c r="Y93" s="1"/>
      <c r="Z93" s="1"/>
      <c r="AA93" s="1"/>
      <c r="AB93" s="1"/>
      <c r="AC93" s="1"/>
      <c r="AD93" s="1" t="s">
        <v>63</v>
      </c>
      <c r="AE93" s="2">
        <v>18250.490000000002</v>
      </c>
      <c r="AH93" s="1"/>
      <c r="AI93" s="1"/>
      <c r="AJ93" s="1"/>
      <c r="AK93" s="1"/>
      <c r="AL93" s="1"/>
      <c r="AM93" s="1"/>
      <c r="AN93" s="1" t="s">
        <v>63</v>
      </c>
      <c r="AO93" s="2">
        <v>2000</v>
      </c>
      <c r="AQ93" s="1"/>
      <c r="AR93" s="1"/>
      <c r="AS93" s="1"/>
      <c r="AT93" s="1"/>
      <c r="AU93" s="1"/>
      <c r="AV93" s="1"/>
      <c r="AW93" s="1"/>
      <c r="AX93" s="1" t="s">
        <v>63</v>
      </c>
      <c r="AY93" s="2">
        <v>2000</v>
      </c>
      <c r="BB93" s="1"/>
      <c r="BC93" s="1"/>
      <c r="BD93" s="1"/>
      <c r="BE93" s="1"/>
      <c r="BF93" s="1"/>
      <c r="BG93" s="1"/>
      <c r="BH93" s="1" t="s">
        <v>63</v>
      </c>
      <c r="BI93" s="2">
        <v>2000</v>
      </c>
      <c r="BK93" s="1"/>
      <c r="BL93" s="1"/>
      <c r="BM93" s="1"/>
      <c r="BN93" s="1"/>
      <c r="BO93" s="1"/>
      <c r="BP93" s="1"/>
      <c r="BQ93" s="1"/>
      <c r="BR93" s="1" t="s">
        <v>63</v>
      </c>
      <c r="BS93" s="2">
        <v>24000</v>
      </c>
      <c r="BV93" s="1"/>
      <c r="BW93" s="1"/>
      <c r="BX93" s="1"/>
      <c r="BY93" s="1"/>
      <c r="BZ93" s="1"/>
      <c r="CA93" s="1"/>
      <c r="CB93" s="1" t="s">
        <v>63</v>
      </c>
      <c r="CC93" s="2">
        <v>24000</v>
      </c>
      <c r="CF93" s="1"/>
      <c r="CG93" s="1"/>
      <c r="CH93" s="1"/>
      <c r="CI93" s="1"/>
      <c r="CJ93" s="1"/>
      <c r="CK93" s="1"/>
      <c r="CL93" s="1"/>
      <c r="CM93" s="2"/>
      <c r="CP93" s="1"/>
      <c r="CQ93" s="1"/>
      <c r="CR93" s="1"/>
      <c r="CS93" s="1"/>
      <c r="CT93" s="1"/>
      <c r="CU93" s="1"/>
      <c r="CV93" s="1"/>
      <c r="CW93" s="2"/>
      <c r="CZ93" s="1"/>
      <c r="DA93" s="1"/>
      <c r="DB93" s="1"/>
      <c r="DC93" s="1"/>
      <c r="DD93" s="1"/>
      <c r="DE93" s="1"/>
      <c r="DF93" s="1"/>
      <c r="DG93" s="2"/>
    </row>
    <row r="94" spans="1:111" ht="14.65" customHeight="1" x14ac:dyDescent="0.25">
      <c r="A94" s="1"/>
      <c r="B94" s="1"/>
      <c r="C94" s="1"/>
      <c r="D94" s="1"/>
      <c r="E94" s="1"/>
      <c r="F94" s="1"/>
      <c r="G94" s="1" t="s">
        <v>111</v>
      </c>
      <c r="H94" s="137">
        <v>2700</v>
      </c>
      <c r="I94" s="198">
        <v>300</v>
      </c>
      <c r="J94" s="198">
        <v>300</v>
      </c>
      <c r="K94" s="198">
        <v>300</v>
      </c>
      <c r="L94" s="90">
        <f t="shared" si="60"/>
        <v>3600</v>
      </c>
      <c r="M94" s="104">
        <v>3600</v>
      </c>
      <c r="N94" s="92">
        <v>3600</v>
      </c>
      <c r="O94" s="93">
        <v>3600</v>
      </c>
      <c r="P94" s="142">
        <f t="shared" si="57"/>
        <v>0</v>
      </c>
      <c r="Q94" s="131">
        <f t="shared" si="58"/>
        <v>0</v>
      </c>
      <c r="R94" s="132">
        <f t="shared" si="59"/>
        <v>0</v>
      </c>
      <c r="T94" s="5"/>
      <c r="U94" s="2"/>
      <c r="W94" s="1"/>
      <c r="X94" s="1"/>
      <c r="Y94" s="1"/>
      <c r="Z94" s="1"/>
      <c r="AA94" s="1"/>
      <c r="AB94" s="1"/>
      <c r="AC94" s="1"/>
      <c r="AD94" s="1" t="s">
        <v>64</v>
      </c>
      <c r="AE94" s="2">
        <v>2664</v>
      </c>
      <c r="AH94" s="1"/>
      <c r="AI94" s="1"/>
      <c r="AJ94" s="1"/>
      <c r="AK94" s="1"/>
      <c r="AL94" s="1"/>
      <c r="AM94" s="1"/>
      <c r="AN94" s="1" t="s">
        <v>64</v>
      </c>
      <c r="AO94" s="2">
        <v>333</v>
      </c>
      <c r="AQ94" s="1"/>
      <c r="AR94" s="1"/>
      <c r="AS94" s="1"/>
      <c r="AT94" s="1"/>
      <c r="AU94" s="1"/>
      <c r="AV94" s="1"/>
      <c r="AW94" s="1"/>
      <c r="AX94" s="1" t="s">
        <v>64</v>
      </c>
      <c r="AY94" s="2">
        <v>333</v>
      </c>
      <c r="BB94" s="1"/>
      <c r="BC94" s="1"/>
      <c r="BD94" s="1"/>
      <c r="BE94" s="1"/>
      <c r="BF94" s="1"/>
      <c r="BG94" s="1"/>
      <c r="BH94" s="1" t="s">
        <v>64</v>
      </c>
      <c r="BI94" s="2">
        <v>333</v>
      </c>
      <c r="BK94" s="1"/>
      <c r="BL94" s="1"/>
      <c r="BM94" s="1"/>
      <c r="BN94" s="1"/>
      <c r="BO94" s="1"/>
      <c r="BP94" s="1"/>
      <c r="BQ94" s="1"/>
      <c r="BR94" s="1" t="s">
        <v>64</v>
      </c>
      <c r="BS94" s="2">
        <v>3996</v>
      </c>
      <c r="BV94" s="1"/>
      <c r="BW94" s="1"/>
      <c r="BX94" s="1"/>
      <c r="BY94" s="1"/>
      <c r="BZ94" s="1"/>
      <c r="CA94" s="1"/>
      <c r="CB94" s="1" t="s">
        <v>64</v>
      </c>
      <c r="CC94" s="2">
        <v>3996</v>
      </c>
      <c r="CF94" s="1"/>
      <c r="CG94" s="1"/>
      <c r="CH94" s="1"/>
      <c r="CI94" s="1"/>
      <c r="CJ94" s="1"/>
      <c r="CK94" s="1"/>
      <c r="CL94" s="1"/>
      <c r="CM94" s="2"/>
      <c r="CP94" s="1"/>
      <c r="CQ94" s="1"/>
      <c r="CR94" s="1"/>
      <c r="CS94" s="1"/>
      <c r="CT94" s="1"/>
      <c r="CU94" s="1"/>
      <c r="CV94" s="1"/>
      <c r="CW94" s="2"/>
      <c r="CZ94" s="1"/>
      <c r="DA94" s="1"/>
      <c r="DB94" s="1"/>
      <c r="DC94" s="1"/>
      <c r="DD94" s="1"/>
      <c r="DE94" s="1"/>
      <c r="DF94" s="1"/>
      <c r="DG94" s="2"/>
    </row>
    <row r="95" spans="1:111" ht="14.65" customHeight="1" x14ac:dyDescent="0.25">
      <c r="A95" s="1"/>
      <c r="B95" s="1"/>
      <c r="C95" s="1"/>
      <c r="D95" s="1"/>
      <c r="E95" s="1"/>
      <c r="F95" s="1"/>
      <c r="G95" s="1" t="s">
        <v>112</v>
      </c>
      <c r="H95" s="137">
        <v>1800</v>
      </c>
      <c r="I95" s="198">
        <v>200</v>
      </c>
      <c r="J95" s="198">
        <v>200</v>
      </c>
      <c r="K95" s="198">
        <v>200</v>
      </c>
      <c r="L95" s="90">
        <f t="shared" si="60"/>
        <v>2400</v>
      </c>
      <c r="M95" s="104">
        <v>2400</v>
      </c>
      <c r="N95" s="92">
        <v>2400</v>
      </c>
      <c r="O95" s="93">
        <v>2400</v>
      </c>
      <c r="P95" s="142">
        <f t="shared" si="57"/>
        <v>0</v>
      </c>
      <c r="Q95" s="131">
        <f t="shared" si="58"/>
        <v>0</v>
      </c>
      <c r="R95" s="132">
        <f t="shared" si="59"/>
        <v>0</v>
      </c>
      <c r="T95" s="5"/>
      <c r="U95" s="2"/>
      <c r="W95" s="1"/>
      <c r="X95" s="1"/>
      <c r="Y95" s="1"/>
      <c r="Z95" s="1"/>
      <c r="AA95" s="1"/>
      <c r="AB95" s="1"/>
      <c r="AC95" s="1"/>
      <c r="AD95" s="1" t="s">
        <v>115</v>
      </c>
      <c r="AE95" s="2">
        <v>2700</v>
      </c>
      <c r="AH95" s="1"/>
      <c r="AI95" s="1"/>
      <c r="AJ95" s="1"/>
      <c r="AK95" s="1"/>
      <c r="AL95" s="1"/>
      <c r="AM95" s="1"/>
      <c r="AN95" s="1" t="s">
        <v>115</v>
      </c>
      <c r="AO95" s="2">
        <v>300</v>
      </c>
      <c r="AQ95" s="1"/>
      <c r="AR95" s="1"/>
      <c r="AS95" s="1"/>
      <c r="AT95" s="1"/>
      <c r="AU95" s="1"/>
      <c r="AV95" s="1"/>
      <c r="AW95" s="1"/>
      <c r="AX95" s="1" t="s">
        <v>115</v>
      </c>
      <c r="AY95" s="2">
        <v>300</v>
      </c>
      <c r="BB95" s="1"/>
      <c r="BC95" s="1"/>
      <c r="BD95" s="1"/>
      <c r="BE95" s="1"/>
      <c r="BF95" s="1"/>
      <c r="BG95" s="1"/>
      <c r="BH95" s="1" t="s">
        <v>115</v>
      </c>
      <c r="BI95" s="2">
        <v>300</v>
      </c>
      <c r="BK95" s="1"/>
      <c r="BL95" s="1"/>
      <c r="BM95" s="1"/>
      <c r="BN95" s="1"/>
      <c r="BO95" s="1"/>
      <c r="BP95" s="1"/>
      <c r="BQ95" s="1"/>
      <c r="BR95" s="1" t="s">
        <v>115</v>
      </c>
      <c r="BS95" s="2">
        <v>3600</v>
      </c>
      <c r="BV95" s="1"/>
      <c r="BW95" s="1"/>
      <c r="BX95" s="1"/>
      <c r="BY95" s="1"/>
      <c r="BZ95" s="1"/>
      <c r="CA95" s="1"/>
      <c r="CB95" s="1" t="s">
        <v>115</v>
      </c>
      <c r="CC95" s="2">
        <v>3600</v>
      </c>
      <c r="CF95" s="1"/>
      <c r="CG95" s="1"/>
      <c r="CH95" s="1"/>
      <c r="CI95" s="1"/>
      <c r="CJ95" s="1"/>
      <c r="CK95" s="1"/>
      <c r="CL95" s="1"/>
      <c r="CM95" s="9"/>
      <c r="CP95" s="1"/>
      <c r="CQ95" s="1"/>
      <c r="CR95" s="1"/>
      <c r="CS95" s="1"/>
      <c r="CT95" s="1"/>
      <c r="CU95" s="1"/>
      <c r="CV95" s="1"/>
      <c r="CW95" s="9"/>
      <c r="CZ95" s="1"/>
      <c r="DA95" s="1"/>
      <c r="DB95" s="1"/>
      <c r="DC95" s="1"/>
      <c r="DD95" s="1"/>
      <c r="DE95" s="1"/>
      <c r="DF95" s="1"/>
      <c r="DG95" s="2"/>
    </row>
    <row r="96" spans="1:111" ht="14.65" customHeight="1" x14ac:dyDescent="0.25">
      <c r="A96" s="1"/>
      <c r="B96" s="1"/>
      <c r="C96" s="1"/>
      <c r="D96" s="1"/>
      <c r="E96" s="1"/>
      <c r="F96" s="1"/>
      <c r="G96" s="1" t="s">
        <v>65</v>
      </c>
      <c r="H96" s="137">
        <v>11628</v>
      </c>
      <c r="I96" s="198">
        <v>1250</v>
      </c>
      <c r="J96" s="198">
        <v>1250</v>
      </c>
      <c r="K96" s="198">
        <v>1250</v>
      </c>
      <c r="L96" s="90">
        <f t="shared" si="60"/>
        <v>15378</v>
      </c>
      <c r="M96" s="104">
        <v>15000</v>
      </c>
      <c r="N96" s="92">
        <v>15500</v>
      </c>
      <c r="O96" s="93">
        <v>15500</v>
      </c>
      <c r="P96" s="142">
        <f t="shared" si="57"/>
        <v>122</v>
      </c>
      <c r="Q96" s="131">
        <f t="shared" si="58"/>
        <v>122</v>
      </c>
      <c r="R96" s="132">
        <f t="shared" si="59"/>
        <v>0</v>
      </c>
      <c r="T96" s="5"/>
      <c r="U96" s="2"/>
      <c r="W96" s="1"/>
      <c r="X96" s="1"/>
      <c r="Y96" s="1"/>
      <c r="Z96" s="1"/>
      <c r="AA96" s="1"/>
      <c r="AB96" s="1"/>
      <c r="AC96" s="1"/>
      <c r="AD96" s="1" t="s">
        <v>116</v>
      </c>
      <c r="AE96" s="2">
        <v>1800</v>
      </c>
      <c r="AH96" s="1"/>
      <c r="AI96" s="1"/>
      <c r="AJ96" s="1"/>
      <c r="AK96" s="1"/>
      <c r="AL96" s="1"/>
      <c r="AM96" s="1"/>
      <c r="AN96" s="1" t="s">
        <v>116</v>
      </c>
      <c r="AO96" s="2">
        <v>200</v>
      </c>
      <c r="AQ96" s="1"/>
      <c r="AR96" s="1"/>
      <c r="AS96" s="1"/>
      <c r="AT96" s="1"/>
      <c r="AU96" s="1"/>
      <c r="AV96" s="1"/>
      <c r="AW96" s="1"/>
      <c r="AX96" s="1" t="s">
        <v>116</v>
      </c>
      <c r="AY96" s="2">
        <v>200</v>
      </c>
      <c r="BB96" s="1"/>
      <c r="BC96" s="1"/>
      <c r="BD96" s="1"/>
      <c r="BE96" s="1"/>
      <c r="BF96" s="1"/>
      <c r="BG96" s="1"/>
      <c r="BH96" s="1" t="s">
        <v>116</v>
      </c>
      <c r="BI96" s="2">
        <v>200</v>
      </c>
      <c r="BK96" s="1"/>
      <c r="BL96" s="1"/>
      <c r="BM96" s="1"/>
      <c r="BN96" s="1"/>
      <c r="BO96" s="1"/>
      <c r="BP96" s="1"/>
      <c r="BQ96" s="1"/>
      <c r="BR96" s="1" t="s">
        <v>116</v>
      </c>
      <c r="BS96" s="2">
        <v>2400</v>
      </c>
      <c r="BV96" s="1"/>
      <c r="BW96" s="1"/>
      <c r="BX96" s="1"/>
      <c r="BY96" s="1"/>
      <c r="BZ96" s="1"/>
      <c r="CA96" s="1"/>
      <c r="CB96" s="1" t="s">
        <v>116</v>
      </c>
      <c r="CC96" s="2">
        <v>2400</v>
      </c>
      <c r="CP96" s="1"/>
      <c r="CQ96" s="1"/>
      <c r="CR96" s="1"/>
      <c r="CS96" s="1"/>
      <c r="CT96" s="1"/>
      <c r="CU96" s="1"/>
      <c r="CV96" s="1"/>
      <c r="CW96" s="6"/>
      <c r="CZ96" s="1"/>
      <c r="DA96" s="1"/>
      <c r="DB96" s="1"/>
      <c r="DC96" s="1"/>
      <c r="DD96" s="1"/>
      <c r="DE96" s="1"/>
      <c r="DF96" s="1"/>
      <c r="DG96" s="2"/>
    </row>
    <row r="97" spans="1:111" ht="14.65" customHeight="1" x14ac:dyDescent="0.25">
      <c r="A97" s="1"/>
      <c r="B97" s="1"/>
      <c r="C97" s="1"/>
      <c r="D97" s="1"/>
      <c r="E97" s="1"/>
      <c r="F97" s="1"/>
      <c r="G97" s="1" t="s">
        <v>110</v>
      </c>
      <c r="H97" s="137">
        <v>3753</v>
      </c>
      <c r="I97" s="198">
        <v>417</v>
      </c>
      <c r="J97" s="198">
        <v>417</v>
      </c>
      <c r="K97" s="198">
        <v>417</v>
      </c>
      <c r="L97" s="90">
        <f t="shared" si="60"/>
        <v>5004</v>
      </c>
      <c r="M97" s="104">
        <v>5000</v>
      </c>
      <c r="N97" s="92">
        <v>5000</v>
      </c>
      <c r="O97" s="93">
        <v>5000</v>
      </c>
      <c r="P97" s="142">
        <f t="shared" si="57"/>
        <v>-4</v>
      </c>
      <c r="Q97" s="131">
        <f t="shared" si="58"/>
        <v>-4</v>
      </c>
      <c r="R97" s="132">
        <f t="shared" si="59"/>
        <v>0</v>
      </c>
      <c r="T97" s="5"/>
      <c r="U97" s="2"/>
      <c r="W97" s="1"/>
      <c r="X97" s="1"/>
      <c r="Y97" s="1"/>
      <c r="Z97" s="1"/>
      <c r="AA97" s="1"/>
      <c r="AB97" s="1"/>
      <c r="AC97" s="1"/>
      <c r="AD97" s="1" t="s">
        <v>65</v>
      </c>
      <c r="AE97" s="2">
        <v>11628</v>
      </c>
      <c r="AH97" s="1"/>
      <c r="AI97" s="1"/>
      <c r="AJ97" s="1"/>
      <c r="AK97" s="1"/>
      <c r="AL97" s="1"/>
      <c r="AM97" s="1"/>
      <c r="AN97" s="1" t="s">
        <v>65</v>
      </c>
      <c r="AO97" s="2">
        <v>1250</v>
      </c>
      <c r="AQ97" s="1"/>
      <c r="AR97" s="1"/>
      <c r="AS97" s="1"/>
      <c r="AT97" s="1"/>
      <c r="AU97" s="1"/>
      <c r="AV97" s="1"/>
      <c r="AW97" s="1"/>
      <c r="AX97" s="1" t="s">
        <v>65</v>
      </c>
      <c r="AY97" s="2">
        <v>1250</v>
      </c>
      <c r="BB97" s="1"/>
      <c r="BC97" s="1"/>
      <c r="BD97" s="1"/>
      <c r="BE97" s="1"/>
      <c r="BF97" s="1"/>
      <c r="BG97" s="1"/>
      <c r="BH97" s="1" t="s">
        <v>65</v>
      </c>
      <c r="BI97" s="2">
        <v>1250</v>
      </c>
      <c r="BK97" s="1"/>
      <c r="BL97" s="1"/>
      <c r="BM97" s="1"/>
      <c r="BN97" s="1"/>
      <c r="BO97" s="1"/>
      <c r="BP97" s="1"/>
      <c r="BQ97" s="1"/>
      <c r="BR97" s="1" t="s">
        <v>65</v>
      </c>
      <c r="BS97" s="2">
        <v>15000</v>
      </c>
      <c r="BV97" s="1"/>
      <c r="BW97" s="1"/>
      <c r="BX97" s="1"/>
      <c r="BY97" s="1"/>
      <c r="BZ97" s="1"/>
      <c r="CA97" s="1"/>
      <c r="CB97" s="1" t="s">
        <v>65</v>
      </c>
      <c r="CC97" s="2">
        <v>15500</v>
      </c>
      <c r="CP97" s="1"/>
      <c r="CQ97" s="1"/>
      <c r="CR97" s="1"/>
      <c r="CS97" s="1"/>
      <c r="CT97" s="1"/>
      <c r="CU97" s="1"/>
      <c r="CV97" s="1"/>
      <c r="CW97" s="6"/>
      <c r="CZ97" s="1"/>
      <c r="DA97" s="1"/>
      <c r="DB97" s="1"/>
      <c r="DC97" s="1"/>
      <c r="DD97" s="1"/>
      <c r="DE97" s="1"/>
      <c r="DF97" s="1"/>
      <c r="DG97" s="2"/>
    </row>
    <row r="98" spans="1:111" ht="14.65" customHeight="1" x14ac:dyDescent="0.25">
      <c r="A98" s="1"/>
      <c r="B98" s="1"/>
      <c r="C98" s="1"/>
      <c r="D98" s="1"/>
      <c r="E98" s="1"/>
      <c r="F98" s="1"/>
      <c r="G98" s="1" t="s">
        <v>93</v>
      </c>
      <c r="H98" s="137">
        <v>10500</v>
      </c>
      <c r="I98" s="198">
        <v>0</v>
      </c>
      <c r="J98" s="198">
        <v>0</v>
      </c>
      <c r="K98" s="198">
        <v>0</v>
      </c>
      <c r="L98" s="90">
        <f t="shared" si="60"/>
        <v>10500</v>
      </c>
      <c r="M98" s="104">
        <v>10000</v>
      </c>
      <c r="N98" s="92">
        <v>10500</v>
      </c>
      <c r="O98" s="93">
        <v>10500</v>
      </c>
      <c r="P98" s="142">
        <f t="shared" si="57"/>
        <v>0</v>
      </c>
      <c r="Q98" s="131">
        <f t="shared" si="58"/>
        <v>0</v>
      </c>
      <c r="R98" s="132">
        <f t="shared" si="59"/>
        <v>0</v>
      </c>
      <c r="T98" s="1"/>
      <c r="U98" s="2"/>
      <c r="W98" s="1"/>
      <c r="X98" s="1"/>
      <c r="Y98" s="1"/>
      <c r="Z98" s="1"/>
      <c r="AA98" s="1"/>
      <c r="AB98" s="1"/>
      <c r="AC98" s="1"/>
      <c r="AD98" s="1" t="s">
        <v>117</v>
      </c>
      <c r="AE98" s="2">
        <v>3753</v>
      </c>
      <c r="AH98" s="1"/>
      <c r="AI98" s="1"/>
      <c r="AJ98" s="1"/>
      <c r="AK98" s="1"/>
      <c r="AL98" s="1"/>
      <c r="AM98" s="1"/>
      <c r="AN98" s="1" t="s">
        <v>117</v>
      </c>
      <c r="AO98" s="2">
        <v>417</v>
      </c>
      <c r="AQ98" s="1"/>
      <c r="AR98" s="1"/>
      <c r="AS98" s="1"/>
      <c r="AT98" s="1"/>
      <c r="AU98" s="1"/>
      <c r="AV98" s="1"/>
      <c r="AW98" s="1"/>
      <c r="AX98" s="1" t="s">
        <v>117</v>
      </c>
      <c r="AY98" s="2">
        <v>417</v>
      </c>
      <c r="BB98" s="1"/>
      <c r="BC98" s="1"/>
      <c r="BD98" s="1"/>
      <c r="BE98" s="1"/>
      <c r="BF98" s="1"/>
      <c r="BG98" s="1"/>
      <c r="BH98" s="1" t="s">
        <v>117</v>
      </c>
      <c r="BI98" s="2">
        <v>417</v>
      </c>
      <c r="BK98" s="1"/>
      <c r="BL98" s="1"/>
      <c r="BM98" s="1"/>
      <c r="BN98" s="1"/>
      <c r="BO98" s="1"/>
      <c r="BP98" s="1"/>
      <c r="BQ98" s="1"/>
      <c r="BR98" s="1" t="s">
        <v>117</v>
      </c>
      <c r="BS98" s="2">
        <v>5000</v>
      </c>
      <c r="BV98" s="1"/>
      <c r="BW98" s="1"/>
      <c r="BX98" s="1"/>
      <c r="BY98" s="1"/>
      <c r="BZ98" s="1"/>
      <c r="CA98" s="1"/>
      <c r="CB98" s="1" t="s">
        <v>117</v>
      </c>
      <c r="CC98" s="2">
        <v>5000</v>
      </c>
      <c r="CP98" s="1"/>
      <c r="CQ98" s="1"/>
      <c r="CR98" s="1"/>
      <c r="CS98" s="1"/>
      <c r="CT98" s="1"/>
      <c r="CU98" s="1"/>
      <c r="CV98" s="1"/>
      <c r="CW98" s="6"/>
      <c r="CZ98" s="1"/>
      <c r="DA98" s="1"/>
      <c r="DB98" s="1"/>
      <c r="DC98" s="1"/>
      <c r="DD98" s="1"/>
      <c r="DE98" s="1"/>
      <c r="DF98" s="1"/>
      <c r="DG98" s="2"/>
    </row>
    <row r="99" spans="1:111" ht="14.65" customHeight="1" thickBot="1" x14ac:dyDescent="0.3">
      <c r="A99" s="1"/>
      <c r="B99" s="69"/>
      <c r="C99" s="69"/>
      <c r="D99" s="69"/>
      <c r="E99" s="69"/>
      <c r="F99" s="69"/>
      <c r="G99" s="70" t="s">
        <v>123</v>
      </c>
      <c r="H99" s="138">
        <v>1500</v>
      </c>
      <c r="I99" s="200">
        <v>0</v>
      </c>
      <c r="J99" s="200">
        <v>0</v>
      </c>
      <c r="K99" s="200">
        <v>0</v>
      </c>
      <c r="L99" s="94">
        <f t="shared" si="60"/>
        <v>1500</v>
      </c>
      <c r="M99" s="105">
        <v>1500</v>
      </c>
      <c r="N99" s="106">
        <v>1500</v>
      </c>
      <c r="O99" s="107">
        <v>1500</v>
      </c>
      <c r="P99" s="143">
        <f t="shared" si="57"/>
        <v>0</v>
      </c>
      <c r="Q99" s="133">
        <f t="shared" si="58"/>
        <v>0</v>
      </c>
      <c r="R99" s="134">
        <f t="shared" si="59"/>
        <v>0</v>
      </c>
      <c r="T99" s="1"/>
      <c r="U99" s="2"/>
      <c r="W99" s="1"/>
      <c r="X99" s="1"/>
      <c r="Y99" s="1"/>
      <c r="Z99" s="1"/>
      <c r="AA99" s="1"/>
      <c r="AB99" s="1"/>
      <c r="AC99" s="1"/>
      <c r="AD99" s="1" t="s">
        <v>93</v>
      </c>
      <c r="AE99" s="2">
        <v>10500</v>
      </c>
      <c r="AH99" s="1"/>
      <c r="AI99" s="1"/>
      <c r="AJ99" s="1"/>
      <c r="AK99" s="1"/>
      <c r="AL99" s="1"/>
      <c r="AM99" s="1"/>
      <c r="AN99" s="1" t="s">
        <v>93</v>
      </c>
      <c r="AO99" s="2">
        <v>0</v>
      </c>
      <c r="AQ99" s="1"/>
      <c r="AR99" s="1"/>
      <c r="AS99" s="1"/>
      <c r="AT99" s="1"/>
      <c r="AU99" s="1"/>
      <c r="AV99" s="1"/>
      <c r="AW99" s="1"/>
      <c r="AX99" s="1" t="s">
        <v>93</v>
      </c>
      <c r="AY99" s="2">
        <v>0</v>
      </c>
      <c r="BB99" s="1"/>
      <c r="BC99" s="1"/>
      <c r="BD99" s="1"/>
      <c r="BE99" s="1"/>
      <c r="BF99" s="1"/>
      <c r="BG99" s="1"/>
      <c r="BH99" s="1" t="s">
        <v>93</v>
      </c>
      <c r="BI99" s="2">
        <v>0</v>
      </c>
      <c r="BK99" s="1"/>
      <c r="BL99" s="1"/>
      <c r="BM99" s="1"/>
      <c r="BN99" s="1"/>
      <c r="BO99" s="1"/>
      <c r="BP99" s="1"/>
      <c r="BQ99" s="1"/>
      <c r="BR99" s="1" t="s">
        <v>93</v>
      </c>
      <c r="BS99" s="2">
        <v>10000</v>
      </c>
      <c r="BV99" s="1"/>
      <c r="BW99" s="1"/>
      <c r="BX99" s="1"/>
      <c r="BY99" s="1"/>
      <c r="BZ99" s="1"/>
      <c r="CA99" s="1"/>
      <c r="CB99" s="1" t="s">
        <v>93</v>
      </c>
      <c r="CC99" s="2">
        <v>10500</v>
      </c>
      <c r="CP99" s="1"/>
      <c r="CQ99" s="1"/>
      <c r="CR99" s="1"/>
      <c r="CS99" s="1"/>
      <c r="CT99" s="1"/>
      <c r="CU99" s="1"/>
      <c r="CV99" s="1"/>
      <c r="CW99" s="6"/>
      <c r="CZ99" s="1"/>
      <c r="DA99" s="1"/>
      <c r="DB99" s="1"/>
      <c r="DC99" s="1"/>
      <c r="DD99" s="1"/>
      <c r="DE99" s="1"/>
      <c r="DF99" s="1"/>
      <c r="DG99" s="2"/>
    </row>
    <row r="100" spans="1:111" ht="14.65" customHeight="1" thickBot="1" x14ac:dyDescent="0.3">
      <c r="A100" s="1"/>
      <c r="B100" s="18"/>
      <c r="C100" s="18"/>
      <c r="D100" s="18"/>
      <c r="E100" s="18"/>
      <c r="F100" s="18" t="s">
        <v>66</v>
      </c>
      <c r="G100" s="18"/>
      <c r="H100" s="54">
        <f>ROUND(SUM(H89:H99),5)</f>
        <v>81384.490000000005</v>
      </c>
      <c r="I100" s="36">
        <f t="shared" ref="I100:R100" si="61">ROUND(SUM(I89:I99),5)</f>
        <v>7443</v>
      </c>
      <c r="J100" s="36">
        <f t="shared" si="61"/>
        <v>7521</v>
      </c>
      <c r="K100" s="36">
        <f t="shared" si="61"/>
        <v>8199</v>
      </c>
      <c r="L100" s="109">
        <f t="shared" si="61"/>
        <v>104547.49</v>
      </c>
      <c r="M100" s="108">
        <f>ROUND(SUM(M89:M99),5)</f>
        <v>104748</v>
      </c>
      <c r="N100" s="109">
        <f t="shared" si="61"/>
        <v>104748</v>
      </c>
      <c r="O100" s="97">
        <f t="shared" si="61"/>
        <v>104748</v>
      </c>
      <c r="P100" s="109">
        <f t="shared" si="61"/>
        <v>200.51</v>
      </c>
      <c r="Q100" s="109">
        <f t="shared" si="61"/>
        <v>200.51</v>
      </c>
      <c r="R100" s="110">
        <f t="shared" si="61"/>
        <v>0</v>
      </c>
      <c r="T100" s="1"/>
      <c r="U100" s="2"/>
      <c r="W100" s="1"/>
      <c r="X100" s="1"/>
      <c r="Y100" s="1"/>
      <c r="Z100" s="1"/>
      <c r="AA100" s="1"/>
      <c r="AB100" s="1"/>
      <c r="AC100" s="1"/>
      <c r="AD100" s="1" t="s">
        <v>122</v>
      </c>
      <c r="AE100" s="17">
        <v>1500</v>
      </c>
      <c r="AH100" s="1"/>
      <c r="AI100" s="1"/>
      <c r="AJ100" s="1"/>
      <c r="AK100" s="1"/>
      <c r="AL100" s="1"/>
      <c r="AM100" s="1"/>
      <c r="AN100" s="1" t="s">
        <v>122</v>
      </c>
      <c r="AO100" s="17">
        <v>0</v>
      </c>
      <c r="AQ100" s="1"/>
      <c r="AR100" s="1"/>
      <c r="AS100" s="1"/>
      <c r="AT100" s="1"/>
      <c r="AU100" s="1"/>
      <c r="AV100" s="1"/>
      <c r="AW100" s="1"/>
      <c r="AX100" s="1" t="s">
        <v>122</v>
      </c>
      <c r="AY100" s="17">
        <v>0</v>
      </c>
      <c r="BB100" s="1"/>
      <c r="BC100" s="1"/>
      <c r="BD100" s="1"/>
      <c r="BE100" s="1"/>
      <c r="BF100" s="1"/>
      <c r="BG100" s="1"/>
      <c r="BH100" s="1" t="s">
        <v>122</v>
      </c>
      <c r="BI100" s="17">
        <v>0</v>
      </c>
      <c r="BK100" s="1"/>
      <c r="BL100" s="1"/>
      <c r="BM100" s="1"/>
      <c r="BN100" s="1"/>
      <c r="BO100" s="1"/>
      <c r="BP100" s="1"/>
      <c r="BQ100" s="1"/>
      <c r="BR100" s="1" t="s">
        <v>122</v>
      </c>
      <c r="BS100" s="17">
        <v>1500</v>
      </c>
      <c r="BV100" s="1"/>
      <c r="BW100" s="1"/>
      <c r="BX100" s="1"/>
      <c r="BY100" s="1"/>
      <c r="BZ100" s="1"/>
      <c r="CA100" s="1"/>
      <c r="CB100" s="1" t="s">
        <v>122</v>
      </c>
      <c r="CC100" s="17">
        <v>1500</v>
      </c>
      <c r="CP100" s="1"/>
      <c r="CQ100" s="1"/>
      <c r="CR100" s="1"/>
      <c r="CS100" s="1"/>
      <c r="CT100" s="1"/>
      <c r="CU100" s="1"/>
      <c r="CV100" s="1"/>
      <c r="CW100" s="6"/>
      <c r="CZ100" s="1"/>
      <c r="DA100" s="1"/>
      <c r="DB100" s="1"/>
      <c r="DC100" s="1"/>
      <c r="DD100" s="1"/>
      <c r="DE100" s="1"/>
      <c r="DF100" s="1"/>
      <c r="DG100" s="2"/>
    </row>
    <row r="101" spans="1:111" ht="14.65" customHeight="1" x14ac:dyDescent="0.25">
      <c r="A101" s="1"/>
      <c r="B101" s="1"/>
      <c r="C101" s="1"/>
      <c r="D101" s="1"/>
      <c r="E101" s="1"/>
      <c r="F101" s="1" t="s">
        <v>67</v>
      </c>
      <c r="G101" s="1"/>
      <c r="H101" s="53"/>
      <c r="I101" s="35"/>
      <c r="J101" s="35"/>
      <c r="K101" s="35"/>
      <c r="L101" s="102"/>
      <c r="M101" s="101"/>
      <c r="N101" s="102"/>
      <c r="O101" s="103"/>
      <c r="P101" s="102"/>
      <c r="Q101" s="102"/>
      <c r="R101" s="103"/>
      <c r="T101" s="1"/>
      <c r="U101" s="2"/>
      <c r="W101" s="1"/>
      <c r="X101" s="1"/>
      <c r="Y101" s="1"/>
      <c r="Z101" s="1"/>
      <c r="AA101" s="1"/>
      <c r="AB101" s="1"/>
      <c r="AC101" s="1" t="s">
        <v>66</v>
      </c>
      <c r="AD101" s="1"/>
      <c r="AE101" s="2">
        <f>ROUND(SUM(AE90:AE100),5)</f>
        <v>81384.490000000005</v>
      </c>
      <c r="AH101" s="1"/>
      <c r="AI101" s="1"/>
      <c r="AJ101" s="1"/>
      <c r="AK101" s="1"/>
      <c r="AL101" s="1"/>
      <c r="AM101" s="1" t="s">
        <v>66</v>
      </c>
      <c r="AN101" s="1"/>
      <c r="AO101" s="2">
        <f>ROUND(SUM(AO90:AO100),5)</f>
        <v>7443</v>
      </c>
      <c r="AQ101" s="1"/>
      <c r="AR101" s="1"/>
      <c r="AS101" s="1"/>
      <c r="AT101" s="1"/>
      <c r="AU101" s="1"/>
      <c r="AV101" s="1"/>
      <c r="AW101" s="1" t="s">
        <v>66</v>
      </c>
      <c r="AX101" s="1"/>
      <c r="AY101" s="2">
        <f>ROUND(SUM(AY90:AY100),5)</f>
        <v>7521</v>
      </c>
      <c r="BB101" s="1"/>
      <c r="BC101" s="1"/>
      <c r="BD101" s="1"/>
      <c r="BE101" s="1"/>
      <c r="BF101" s="1"/>
      <c r="BG101" s="1" t="s">
        <v>66</v>
      </c>
      <c r="BH101" s="1"/>
      <c r="BI101" s="2">
        <f>ROUND(SUM(BI90:BI100),5)</f>
        <v>10021</v>
      </c>
      <c r="BK101" s="1"/>
      <c r="BL101" s="1"/>
      <c r="BM101" s="1"/>
      <c r="BN101" s="1"/>
      <c r="BO101" s="1"/>
      <c r="BP101" s="1"/>
      <c r="BQ101" s="1" t="s">
        <v>66</v>
      </c>
      <c r="BR101" s="1"/>
      <c r="BS101" s="2">
        <f>ROUND(SUM(BS90:BS100),5)</f>
        <v>104748</v>
      </c>
      <c r="BV101" s="1"/>
      <c r="BW101" s="1"/>
      <c r="BX101" s="1"/>
      <c r="BY101" s="1"/>
      <c r="BZ101" s="1"/>
      <c r="CA101" s="1" t="s">
        <v>66</v>
      </c>
      <c r="CB101" s="1"/>
      <c r="CC101" s="2">
        <f>ROUND(SUM(CC90:CC100),5)</f>
        <v>104748</v>
      </c>
      <c r="CP101" s="1"/>
      <c r="CQ101" s="1"/>
      <c r="CR101" s="1"/>
      <c r="CS101" s="1"/>
      <c r="CT101" s="1"/>
      <c r="CU101" s="1"/>
      <c r="CV101" s="1"/>
      <c r="CW101" s="6"/>
      <c r="CZ101" s="1"/>
      <c r="DA101" s="1"/>
      <c r="DB101" s="1"/>
      <c r="DC101" s="1"/>
      <c r="DD101" s="1"/>
      <c r="DE101" s="1"/>
      <c r="DF101" s="1"/>
      <c r="DG101" s="9"/>
    </row>
    <row r="102" spans="1:111" ht="14.65" customHeight="1" x14ac:dyDescent="0.25">
      <c r="A102" s="1"/>
      <c r="B102" s="1"/>
      <c r="C102" s="1"/>
      <c r="D102" s="1"/>
      <c r="E102" s="1"/>
      <c r="F102" s="1"/>
      <c r="G102" s="1" t="s">
        <v>89</v>
      </c>
      <c r="H102" s="137">
        <v>2262.2399999999998</v>
      </c>
      <c r="I102" s="198">
        <v>100</v>
      </c>
      <c r="J102" s="198"/>
      <c r="K102" s="198"/>
      <c r="L102" s="90">
        <f>SUM(H102:K102)</f>
        <v>2362.2399999999998</v>
      </c>
      <c r="M102" s="104">
        <v>2400</v>
      </c>
      <c r="N102" s="92">
        <v>2400</v>
      </c>
      <c r="O102" s="93">
        <v>2400</v>
      </c>
      <c r="P102" s="142">
        <f t="shared" ref="P102:P110" si="62">N102-L102</f>
        <v>37.760000000000218</v>
      </c>
      <c r="Q102" s="131">
        <f t="shared" ref="Q102:Q110" si="63">O102-L102</f>
        <v>37.760000000000218</v>
      </c>
      <c r="R102" s="132">
        <f t="shared" ref="R102:R110" si="64">O102-N102</f>
        <v>0</v>
      </c>
      <c r="T102" s="32"/>
      <c r="U102" s="2"/>
      <c r="W102" s="1"/>
      <c r="X102" s="1"/>
      <c r="Y102" s="1"/>
      <c r="Z102" s="1"/>
      <c r="AA102" s="1"/>
      <c r="AB102" s="1"/>
      <c r="AC102" s="1" t="s">
        <v>67</v>
      </c>
      <c r="AD102" s="1"/>
      <c r="AE102" s="2"/>
      <c r="AH102" s="1"/>
      <c r="AI102" s="1"/>
      <c r="AJ102" s="1"/>
      <c r="AK102" s="1"/>
      <c r="AL102" s="1"/>
      <c r="AM102" s="1" t="s">
        <v>67</v>
      </c>
      <c r="AN102" s="1"/>
      <c r="AO102" s="2"/>
      <c r="AQ102" s="1"/>
      <c r="AR102" s="1"/>
      <c r="AS102" s="1"/>
      <c r="AT102" s="1"/>
      <c r="AU102" s="1"/>
      <c r="AV102" s="1"/>
      <c r="AW102" s="1" t="s">
        <v>67</v>
      </c>
      <c r="AX102" s="1"/>
      <c r="AY102" s="2"/>
      <c r="BB102" s="1"/>
      <c r="BC102" s="1"/>
      <c r="BD102" s="1"/>
      <c r="BE102" s="1"/>
      <c r="BF102" s="1"/>
      <c r="BG102" s="1" t="s">
        <v>67</v>
      </c>
      <c r="BH102" s="1"/>
      <c r="BI102" s="2"/>
      <c r="BK102" s="1"/>
      <c r="BL102" s="1"/>
      <c r="BM102" s="1"/>
      <c r="BN102" s="1"/>
      <c r="BO102" s="1"/>
      <c r="BP102" s="1"/>
      <c r="BQ102" s="1" t="s">
        <v>67</v>
      </c>
      <c r="BR102" s="1"/>
      <c r="BS102" s="2"/>
      <c r="BV102" s="1"/>
      <c r="BW102" s="1"/>
      <c r="BX102" s="1"/>
      <c r="BY102" s="1"/>
      <c r="BZ102" s="1"/>
      <c r="CA102" s="1" t="s">
        <v>67</v>
      </c>
      <c r="CB102" s="1"/>
      <c r="CC102" s="2"/>
      <c r="CP102" s="1"/>
      <c r="CQ102" s="1"/>
      <c r="CR102" s="1"/>
      <c r="CS102" s="1"/>
      <c r="CT102" s="1"/>
      <c r="CU102" s="1"/>
      <c r="CV102" s="1"/>
      <c r="CW102" s="6"/>
    </row>
    <row r="103" spans="1:111" ht="14.65" customHeight="1" x14ac:dyDescent="0.25">
      <c r="A103" s="1"/>
      <c r="B103" s="1"/>
      <c r="C103" s="1"/>
      <c r="D103" s="1"/>
      <c r="E103" s="1"/>
      <c r="F103" s="1"/>
      <c r="G103" s="1" t="s">
        <v>90</v>
      </c>
      <c r="H103" s="207">
        <v>-183.71</v>
      </c>
      <c r="I103" s="208">
        <v>0</v>
      </c>
      <c r="J103" s="208">
        <v>0</v>
      </c>
      <c r="K103" s="198">
        <v>0</v>
      </c>
      <c r="L103" s="90">
        <f t="shared" ref="L103:L110" si="65">SUM(H103:K103)</f>
        <v>-183.71</v>
      </c>
      <c r="M103" s="104">
        <v>600</v>
      </c>
      <c r="N103" s="92">
        <v>600</v>
      </c>
      <c r="O103" s="93">
        <v>200</v>
      </c>
      <c r="P103" s="142">
        <f t="shared" si="62"/>
        <v>783.71</v>
      </c>
      <c r="Q103" s="131">
        <f t="shared" si="63"/>
        <v>383.71000000000004</v>
      </c>
      <c r="R103" s="132">
        <f t="shared" si="64"/>
        <v>-400</v>
      </c>
      <c r="T103" s="1"/>
      <c r="U103" s="2"/>
      <c r="W103" s="1"/>
      <c r="X103" s="1"/>
      <c r="Y103" s="1"/>
      <c r="Z103" s="1"/>
      <c r="AA103" s="1"/>
      <c r="AB103" s="1"/>
      <c r="AC103" s="1"/>
      <c r="AD103" s="1" t="s">
        <v>89</v>
      </c>
      <c r="AE103" s="2">
        <v>2262.2399999999998</v>
      </c>
      <c r="AH103" s="1"/>
      <c r="AI103" s="1"/>
      <c r="AJ103" s="1"/>
      <c r="AK103" s="1"/>
      <c r="AL103" s="1"/>
      <c r="AM103" s="1"/>
      <c r="AN103" s="1" t="s">
        <v>89</v>
      </c>
      <c r="AO103" s="2">
        <v>100</v>
      </c>
      <c r="AQ103" s="1"/>
      <c r="AR103" s="1"/>
      <c r="AS103" s="1"/>
      <c r="AT103" s="1"/>
      <c r="AU103" s="1"/>
      <c r="AV103" s="1"/>
      <c r="AW103" s="1"/>
      <c r="AX103" s="1" t="s">
        <v>89</v>
      </c>
      <c r="AY103" s="2">
        <v>-2420</v>
      </c>
      <c r="BB103" s="1"/>
      <c r="BC103" s="1"/>
      <c r="BD103" s="1"/>
      <c r="BE103" s="1"/>
      <c r="BF103" s="1"/>
      <c r="BG103" s="1"/>
      <c r="BH103" s="1" t="s">
        <v>89</v>
      </c>
      <c r="BI103" s="2">
        <v>2600</v>
      </c>
      <c r="BK103" s="1"/>
      <c r="BL103" s="1"/>
      <c r="BM103" s="1"/>
      <c r="BN103" s="1"/>
      <c r="BO103" s="1"/>
      <c r="BP103" s="1"/>
      <c r="BQ103" s="1"/>
      <c r="BR103" s="1" t="s">
        <v>89</v>
      </c>
      <c r="BS103" s="2">
        <v>2400</v>
      </c>
      <c r="BV103" s="1"/>
      <c r="BW103" s="1"/>
      <c r="BX103" s="1"/>
      <c r="BY103" s="1"/>
      <c r="BZ103" s="1"/>
      <c r="CA103" s="1"/>
      <c r="CB103" s="1" t="s">
        <v>89</v>
      </c>
      <c r="CC103" s="2">
        <v>2400</v>
      </c>
      <c r="CP103" s="1"/>
      <c r="CQ103" s="1"/>
      <c r="CR103" s="1"/>
      <c r="CS103" s="1"/>
      <c r="CT103" s="1"/>
      <c r="CU103" s="1"/>
      <c r="CV103" s="1"/>
      <c r="CW103" s="6"/>
    </row>
    <row r="104" spans="1:111" ht="14.65" customHeight="1" x14ac:dyDescent="0.25">
      <c r="A104" s="1"/>
      <c r="B104" s="1"/>
      <c r="C104" s="1"/>
      <c r="D104" s="1"/>
      <c r="E104" s="1"/>
      <c r="F104" s="1"/>
      <c r="G104" s="1" t="s">
        <v>68</v>
      </c>
      <c r="H104" s="207">
        <v>777.29</v>
      </c>
      <c r="I104" s="208">
        <v>-369.13</v>
      </c>
      <c r="J104" s="208">
        <v>-379.21</v>
      </c>
      <c r="K104" s="198">
        <v>1444.78</v>
      </c>
      <c r="L104" s="90">
        <f t="shared" si="65"/>
        <v>1473.73</v>
      </c>
      <c r="M104" s="104">
        <v>1800</v>
      </c>
      <c r="N104" s="92">
        <v>1800</v>
      </c>
      <c r="O104" s="93">
        <v>1500</v>
      </c>
      <c r="P104" s="142">
        <f t="shared" si="62"/>
        <v>326.27</v>
      </c>
      <c r="Q104" s="131">
        <f t="shared" si="63"/>
        <v>26.269999999999982</v>
      </c>
      <c r="R104" s="132">
        <f t="shared" si="64"/>
        <v>-300</v>
      </c>
      <c r="T104" s="1"/>
      <c r="U104" s="2"/>
      <c r="W104" s="1"/>
      <c r="X104" s="1"/>
      <c r="Y104" s="1"/>
      <c r="Z104" s="1"/>
      <c r="AA104" s="1"/>
      <c r="AB104" s="1"/>
      <c r="AC104" s="1"/>
      <c r="AD104" s="1" t="s">
        <v>90</v>
      </c>
      <c r="AE104" s="2">
        <v>-183.71</v>
      </c>
      <c r="AH104" s="1"/>
      <c r="AI104" s="1"/>
      <c r="AJ104" s="1"/>
      <c r="AK104" s="1"/>
      <c r="AL104" s="1"/>
      <c r="AM104" s="1"/>
      <c r="AN104" s="1" t="s">
        <v>90</v>
      </c>
      <c r="AO104" s="2">
        <v>0</v>
      </c>
      <c r="AQ104" s="1"/>
      <c r="AR104" s="1"/>
      <c r="AS104" s="1"/>
      <c r="AT104" s="1"/>
      <c r="AU104" s="1"/>
      <c r="AV104" s="1"/>
      <c r="AW104" s="1"/>
      <c r="AX104" s="1" t="s">
        <v>90</v>
      </c>
      <c r="AY104" s="2">
        <v>0</v>
      </c>
      <c r="BB104" s="1"/>
      <c r="BC104" s="1"/>
      <c r="BD104" s="1"/>
      <c r="BE104" s="1"/>
      <c r="BF104" s="1"/>
      <c r="BG104" s="1"/>
      <c r="BH104" s="1" t="s">
        <v>90</v>
      </c>
      <c r="BI104" s="2">
        <v>0</v>
      </c>
      <c r="BK104" s="1"/>
      <c r="BL104" s="1"/>
      <c r="BM104" s="1"/>
      <c r="BN104" s="1"/>
      <c r="BO104" s="1"/>
      <c r="BP104" s="1"/>
      <c r="BQ104" s="1"/>
      <c r="BR104" s="1" t="s">
        <v>90</v>
      </c>
      <c r="BS104" s="2">
        <v>600</v>
      </c>
      <c r="BV104" s="1"/>
      <c r="BW104" s="1"/>
      <c r="BX104" s="1"/>
      <c r="BY104" s="1"/>
      <c r="BZ104" s="1"/>
      <c r="CA104" s="1"/>
      <c r="CB104" s="1" t="s">
        <v>90</v>
      </c>
      <c r="CC104" s="2">
        <v>600</v>
      </c>
      <c r="CP104" s="1"/>
      <c r="CQ104" s="1"/>
      <c r="CR104" s="1"/>
      <c r="CS104" s="1"/>
      <c r="CT104" s="1"/>
      <c r="CU104" s="1"/>
      <c r="CV104" s="1"/>
      <c r="CW104" s="6"/>
    </row>
    <row r="105" spans="1:111" ht="14.65" customHeight="1" x14ac:dyDescent="0.25">
      <c r="A105" s="1"/>
      <c r="B105" s="1"/>
      <c r="C105" s="1"/>
      <c r="D105" s="1"/>
      <c r="E105" s="1"/>
      <c r="F105" s="1"/>
      <c r="G105" s="1" t="s">
        <v>69</v>
      </c>
      <c r="H105" s="207">
        <v>1350</v>
      </c>
      <c r="I105" s="208">
        <v>150</v>
      </c>
      <c r="J105" s="208">
        <v>150</v>
      </c>
      <c r="K105" s="198">
        <v>150</v>
      </c>
      <c r="L105" s="90">
        <f t="shared" si="65"/>
        <v>1800</v>
      </c>
      <c r="M105" s="104">
        <v>1800</v>
      </c>
      <c r="N105" s="92">
        <v>1800</v>
      </c>
      <c r="O105" s="93">
        <v>1800</v>
      </c>
      <c r="P105" s="142">
        <f t="shared" si="62"/>
        <v>0</v>
      </c>
      <c r="Q105" s="131">
        <f t="shared" si="63"/>
        <v>0</v>
      </c>
      <c r="R105" s="132">
        <f t="shared" si="64"/>
        <v>0</v>
      </c>
      <c r="T105" s="1"/>
      <c r="U105" s="2"/>
      <c r="W105" s="1"/>
      <c r="X105" s="1"/>
      <c r="Y105" s="1"/>
      <c r="Z105" s="1"/>
      <c r="AA105" s="1"/>
      <c r="AB105" s="1"/>
      <c r="AC105" s="1"/>
      <c r="AD105" s="1" t="s">
        <v>68</v>
      </c>
      <c r="AE105" s="2">
        <v>777.29</v>
      </c>
      <c r="AH105" s="1"/>
      <c r="AI105" s="1"/>
      <c r="AJ105" s="1"/>
      <c r="AK105" s="1"/>
      <c r="AL105" s="1"/>
      <c r="AM105" s="1"/>
      <c r="AN105" s="1" t="s">
        <v>68</v>
      </c>
      <c r="AO105" s="2">
        <v>-369.13</v>
      </c>
      <c r="AQ105" s="1"/>
      <c r="AR105" s="1"/>
      <c r="AS105" s="1"/>
      <c r="AT105" s="1"/>
      <c r="AU105" s="1"/>
      <c r="AV105" s="1"/>
      <c r="AW105" s="1"/>
      <c r="AX105" s="1" t="s">
        <v>68</v>
      </c>
      <c r="AY105" s="2">
        <v>-379.21</v>
      </c>
      <c r="BB105" s="1"/>
      <c r="BC105" s="1"/>
      <c r="BD105" s="1"/>
      <c r="BE105" s="1"/>
      <c r="BF105" s="1"/>
      <c r="BG105" s="1"/>
      <c r="BH105" s="1" t="s">
        <v>68</v>
      </c>
      <c r="BI105" s="2">
        <v>1444.78</v>
      </c>
      <c r="BK105" s="1"/>
      <c r="BL105" s="1"/>
      <c r="BM105" s="1"/>
      <c r="BN105" s="1"/>
      <c r="BO105" s="1"/>
      <c r="BP105" s="1"/>
      <c r="BQ105" s="1"/>
      <c r="BR105" s="1" t="s">
        <v>68</v>
      </c>
      <c r="BS105" s="2">
        <v>1800</v>
      </c>
      <c r="BV105" s="1"/>
      <c r="BW105" s="1"/>
      <c r="BX105" s="1"/>
      <c r="BY105" s="1"/>
      <c r="BZ105" s="1"/>
      <c r="CA105" s="1"/>
      <c r="CB105" s="1" t="s">
        <v>68</v>
      </c>
      <c r="CC105" s="2">
        <v>1800</v>
      </c>
      <c r="CP105" s="1"/>
      <c r="CQ105" s="1"/>
      <c r="CR105" s="1"/>
      <c r="CS105" s="1"/>
      <c r="CT105" s="1"/>
      <c r="CU105" s="1"/>
      <c r="CV105" s="1"/>
      <c r="CW105" s="6"/>
    </row>
    <row r="106" spans="1:111" ht="14.65" customHeight="1" x14ac:dyDescent="0.25">
      <c r="A106" s="1"/>
      <c r="B106" s="1"/>
      <c r="C106" s="1"/>
      <c r="D106" s="1"/>
      <c r="E106" s="1"/>
      <c r="F106" s="1"/>
      <c r="G106" s="1" t="s">
        <v>70</v>
      </c>
      <c r="H106" s="137">
        <v>0</v>
      </c>
      <c r="I106" s="198">
        <v>0</v>
      </c>
      <c r="J106" s="198">
        <v>0</v>
      </c>
      <c r="K106" s="198">
        <v>0</v>
      </c>
      <c r="L106" s="90">
        <f t="shared" si="65"/>
        <v>0</v>
      </c>
      <c r="M106" s="104">
        <v>250</v>
      </c>
      <c r="N106" s="92">
        <v>250</v>
      </c>
      <c r="O106" s="93">
        <v>200</v>
      </c>
      <c r="P106" s="142">
        <f t="shared" si="62"/>
        <v>250</v>
      </c>
      <c r="Q106" s="131">
        <f t="shared" si="63"/>
        <v>200</v>
      </c>
      <c r="R106" s="132">
        <f t="shared" si="64"/>
        <v>-50</v>
      </c>
      <c r="T106" s="1"/>
      <c r="U106" s="2"/>
      <c r="W106" s="1"/>
      <c r="X106" s="1"/>
      <c r="Y106" s="1"/>
      <c r="Z106" s="1"/>
      <c r="AA106" s="1"/>
      <c r="AB106" s="1"/>
      <c r="AC106" s="1"/>
      <c r="AD106" s="1" t="s">
        <v>69</v>
      </c>
      <c r="AE106" s="2">
        <v>1350</v>
      </c>
      <c r="AH106" s="1"/>
      <c r="AI106" s="1"/>
      <c r="AJ106" s="1"/>
      <c r="AK106" s="1"/>
      <c r="AL106" s="1"/>
      <c r="AM106" s="1"/>
      <c r="AN106" s="1" t="s">
        <v>69</v>
      </c>
      <c r="AO106" s="2">
        <v>150</v>
      </c>
      <c r="AQ106" s="1"/>
      <c r="AR106" s="1"/>
      <c r="AS106" s="1"/>
      <c r="AT106" s="1"/>
      <c r="AU106" s="1"/>
      <c r="AV106" s="1"/>
      <c r="AW106" s="1"/>
      <c r="AX106" s="1" t="s">
        <v>69</v>
      </c>
      <c r="AY106" s="2">
        <v>150</v>
      </c>
      <c r="BB106" s="1"/>
      <c r="BC106" s="1"/>
      <c r="BD106" s="1"/>
      <c r="BE106" s="1"/>
      <c r="BF106" s="1"/>
      <c r="BG106" s="1"/>
      <c r="BH106" s="1" t="s">
        <v>69</v>
      </c>
      <c r="BI106" s="2">
        <v>150</v>
      </c>
      <c r="BK106" s="1"/>
      <c r="BL106" s="1"/>
      <c r="BM106" s="1"/>
      <c r="BN106" s="1"/>
      <c r="BO106" s="1"/>
      <c r="BP106" s="1"/>
      <c r="BQ106" s="1"/>
      <c r="BR106" s="1" t="s">
        <v>69</v>
      </c>
      <c r="BS106" s="2">
        <v>1800</v>
      </c>
      <c r="BV106" s="1"/>
      <c r="BW106" s="1"/>
      <c r="BX106" s="1"/>
      <c r="BY106" s="1"/>
      <c r="BZ106" s="1"/>
      <c r="CA106" s="1"/>
      <c r="CB106" s="1" t="s">
        <v>69</v>
      </c>
      <c r="CC106" s="2">
        <v>1800</v>
      </c>
      <c r="CP106" s="1"/>
      <c r="CQ106" s="1"/>
      <c r="CR106" s="1"/>
      <c r="CS106" s="1"/>
      <c r="CT106" s="1"/>
      <c r="CU106" s="1"/>
      <c r="CV106" s="1"/>
      <c r="CW106" s="6"/>
    </row>
    <row r="107" spans="1:111" ht="14.65" customHeight="1" x14ac:dyDescent="0.25">
      <c r="A107" s="1"/>
      <c r="B107" s="1"/>
      <c r="C107" s="1"/>
      <c r="D107" s="1"/>
      <c r="E107" s="1"/>
      <c r="F107" s="1"/>
      <c r="G107" s="1" t="s">
        <v>86</v>
      </c>
      <c r="H107" s="137">
        <v>475.36</v>
      </c>
      <c r="I107" s="198">
        <v>100.2</v>
      </c>
      <c r="J107" s="198">
        <v>269.95</v>
      </c>
      <c r="K107" s="198">
        <v>79.98</v>
      </c>
      <c r="L107" s="90">
        <f t="shared" si="65"/>
        <v>925.49</v>
      </c>
      <c r="M107" s="104">
        <v>2400</v>
      </c>
      <c r="N107" s="92">
        <v>1600</v>
      </c>
      <c r="O107" s="93">
        <v>1500</v>
      </c>
      <c r="P107" s="142">
        <f t="shared" si="62"/>
        <v>674.51</v>
      </c>
      <c r="Q107" s="131">
        <f t="shared" si="63"/>
        <v>574.51</v>
      </c>
      <c r="R107" s="132">
        <f t="shared" si="64"/>
        <v>-100</v>
      </c>
      <c r="T107" s="1"/>
      <c r="U107" s="2"/>
      <c r="W107" s="1"/>
      <c r="X107" s="1"/>
      <c r="Y107" s="1"/>
      <c r="Z107" s="1"/>
      <c r="AA107" s="1"/>
      <c r="AB107" s="1"/>
      <c r="AC107" s="1"/>
      <c r="AD107" s="1" t="s">
        <v>70</v>
      </c>
      <c r="AE107" s="2">
        <v>0</v>
      </c>
      <c r="AH107" s="1"/>
      <c r="AI107" s="1"/>
      <c r="AJ107" s="1"/>
      <c r="AK107" s="1"/>
      <c r="AL107" s="1"/>
      <c r="AM107" s="1"/>
      <c r="AN107" s="1" t="s">
        <v>70</v>
      </c>
      <c r="AO107" s="2">
        <v>0</v>
      </c>
      <c r="AQ107" s="1"/>
      <c r="AR107" s="1"/>
      <c r="AS107" s="1"/>
      <c r="AT107" s="1"/>
      <c r="AU107" s="1"/>
      <c r="AV107" s="1"/>
      <c r="AW107" s="1"/>
      <c r="AX107" s="1" t="s">
        <v>70</v>
      </c>
      <c r="AY107" s="2">
        <v>0</v>
      </c>
      <c r="BB107" s="1"/>
      <c r="BC107" s="1"/>
      <c r="BD107" s="1"/>
      <c r="BE107" s="1"/>
      <c r="BF107" s="1"/>
      <c r="BG107" s="1"/>
      <c r="BH107" s="1" t="s">
        <v>70</v>
      </c>
      <c r="BI107" s="2">
        <v>0</v>
      </c>
      <c r="BK107" s="1"/>
      <c r="BL107" s="1"/>
      <c r="BM107" s="1"/>
      <c r="BN107" s="1"/>
      <c r="BO107" s="1"/>
      <c r="BP107" s="1"/>
      <c r="BQ107" s="1"/>
      <c r="BR107" s="1" t="s">
        <v>70</v>
      </c>
      <c r="BS107" s="2">
        <v>250</v>
      </c>
      <c r="BV107" s="1"/>
      <c r="BW107" s="1"/>
      <c r="BX107" s="1"/>
      <c r="BY107" s="1"/>
      <c r="BZ107" s="1"/>
      <c r="CA107" s="1"/>
      <c r="CB107" s="1" t="s">
        <v>70</v>
      </c>
      <c r="CC107" s="2">
        <v>250</v>
      </c>
      <c r="CP107" s="1"/>
      <c r="CQ107" s="1"/>
      <c r="CR107" s="1"/>
      <c r="CS107" s="1"/>
      <c r="CT107" s="1"/>
      <c r="CU107" s="1"/>
      <c r="CV107" s="1"/>
      <c r="CW107" s="6"/>
    </row>
    <row r="108" spans="1:111" ht="14.65" customHeight="1" x14ac:dyDescent="0.25">
      <c r="A108" s="1"/>
      <c r="B108" s="1"/>
      <c r="C108" s="1"/>
      <c r="D108" s="1"/>
      <c r="E108" s="1"/>
      <c r="F108" s="1"/>
      <c r="G108" s="1" t="s">
        <v>209</v>
      </c>
      <c r="H108" s="137">
        <v>50.19</v>
      </c>
      <c r="I108" s="198">
        <v>0</v>
      </c>
      <c r="J108" s="198">
        <v>0</v>
      </c>
      <c r="K108" s="198">
        <v>0</v>
      </c>
      <c r="L108" s="90">
        <f t="shared" si="65"/>
        <v>50.19</v>
      </c>
      <c r="M108" s="104">
        <v>1200</v>
      </c>
      <c r="N108" s="92">
        <v>1200</v>
      </c>
      <c r="O108" s="93">
        <v>1200</v>
      </c>
      <c r="P108" s="142">
        <f t="shared" si="62"/>
        <v>1149.81</v>
      </c>
      <c r="Q108" s="131">
        <f t="shared" si="63"/>
        <v>1149.81</v>
      </c>
      <c r="R108" s="132">
        <f t="shared" si="64"/>
        <v>0</v>
      </c>
      <c r="T108" s="1"/>
      <c r="U108" s="2"/>
      <c r="W108" s="1"/>
      <c r="X108" s="1"/>
      <c r="Y108" s="1"/>
      <c r="Z108" s="1"/>
      <c r="AA108" s="1"/>
      <c r="AB108" s="1"/>
      <c r="AC108" s="1"/>
      <c r="AD108" s="1" t="s">
        <v>86</v>
      </c>
      <c r="AE108" s="2">
        <v>475.36</v>
      </c>
      <c r="AH108" s="1"/>
      <c r="AI108" s="1"/>
      <c r="AJ108" s="1"/>
      <c r="AK108" s="1"/>
      <c r="AL108" s="1"/>
      <c r="AM108" s="1"/>
      <c r="AN108" s="1" t="s">
        <v>86</v>
      </c>
      <c r="AO108" s="2">
        <v>100.2</v>
      </c>
      <c r="AQ108" s="1"/>
      <c r="AR108" s="1"/>
      <c r="AS108" s="1"/>
      <c r="AT108" s="1"/>
      <c r="AU108" s="1"/>
      <c r="AV108" s="1"/>
      <c r="AW108" s="1"/>
      <c r="AX108" s="1" t="s">
        <v>86</v>
      </c>
      <c r="AY108" s="2">
        <v>269.95</v>
      </c>
      <c r="BB108" s="1"/>
      <c r="BC108" s="1"/>
      <c r="BD108" s="1"/>
      <c r="BE108" s="1"/>
      <c r="BF108" s="1"/>
      <c r="BG108" s="1"/>
      <c r="BH108" s="1" t="s">
        <v>86</v>
      </c>
      <c r="BI108" s="2">
        <v>79.98</v>
      </c>
      <c r="BK108" s="1"/>
      <c r="BL108" s="1"/>
      <c r="BM108" s="1"/>
      <c r="BN108" s="1"/>
      <c r="BO108" s="1"/>
      <c r="BP108" s="1"/>
      <c r="BQ108" s="1"/>
      <c r="BR108" s="1" t="s">
        <v>86</v>
      </c>
      <c r="BS108" s="2">
        <v>2400</v>
      </c>
      <c r="BV108" s="1"/>
      <c r="BW108" s="1"/>
      <c r="BX108" s="1"/>
      <c r="BY108" s="1"/>
      <c r="BZ108" s="1"/>
      <c r="CA108" s="1"/>
      <c r="CB108" s="1" t="s">
        <v>86</v>
      </c>
      <c r="CC108" s="2">
        <v>1600</v>
      </c>
      <c r="CP108" s="1"/>
      <c r="CQ108" s="1"/>
      <c r="CR108" s="1"/>
      <c r="CS108" s="1"/>
      <c r="CT108" s="1"/>
      <c r="CU108" s="1"/>
      <c r="CV108" s="1"/>
      <c r="CW108" s="6"/>
    </row>
    <row r="109" spans="1:111" ht="14.65" customHeight="1" x14ac:dyDescent="0.25">
      <c r="A109" s="1"/>
      <c r="B109" s="1"/>
      <c r="C109" s="1"/>
      <c r="D109" s="1"/>
      <c r="E109" s="1"/>
      <c r="F109" s="1"/>
      <c r="G109" s="1" t="s">
        <v>85</v>
      </c>
      <c r="H109" s="137">
        <v>18.309999999999999</v>
      </c>
      <c r="I109" s="198">
        <v>0</v>
      </c>
      <c r="J109" s="198">
        <v>0</v>
      </c>
      <c r="K109" s="198">
        <v>0</v>
      </c>
      <c r="L109" s="90">
        <f t="shared" si="65"/>
        <v>18.309999999999999</v>
      </c>
      <c r="M109" s="104">
        <v>250</v>
      </c>
      <c r="N109" s="92">
        <v>250</v>
      </c>
      <c r="O109" s="93">
        <v>100</v>
      </c>
      <c r="P109" s="142">
        <f t="shared" si="62"/>
        <v>231.69</v>
      </c>
      <c r="Q109" s="131">
        <f t="shared" si="63"/>
        <v>81.69</v>
      </c>
      <c r="R109" s="132">
        <f t="shared" si="64"/>
        <v>-150</v>
      </c>
      <c r="T109" s="1"/>
      <c r="U109" s="2"/>
      <c r="W109" s="1"/>
      <c r="X109" s="1"/>
      <c r="Y109" s="1"/>
      <c r="Z109" s="1"/>
      <c r="AA109" s="1"/>
      <c r="AB109" s="1"/>
      <c r="AC109" s="1"/>
      <c r="AD109" s="1" t="s">
        <v>113</v>
      </c>
      <c r="AE109" s="2">
        <v>50.19</v>
      </c>
      <c r="AH109" s="1"/>
      <c r="AI109" s="1"/>
      <c r="AJ109" s="1"/>
      <c r="AK109" s="1"/>
      <c r="AL109" s="1"/>
      <c r="AM109" s="1"/>
      <c r="AN109" s="1" t="s">
        <v>113</v>
      </c>
      <c r="AO109" s="2">
        <v>0</v>
      </c>
      <c r="AQ109" s="1"/>
      <c r="AR109" s="1"/>
      <c r="AS109" s="1"/>
      <c r="AT109" s="1"/>
      <c r="AU109" s="1"/>
      <c r="AV109" s="1"/>
      <c r="AW109" s="1"/>
      <c r="AX109" s="1" t="s">
        <v>113</v>
      </c>
      <c r="AY109" s="2">
        <v>0</v>
      </c>
      <c r="BB109" s="1"/>
      <c r="BC109" s="1"/>
      <c r="BD109" s="1"/>
      <c r="BE109" s="1"/>
      <c r="BF109" s="1"/>
      <c r="BG109" s="1"/>
      <c r="BH109" s="1" t="s">
        <v>113</v>
      </c>
      <c r="BI109" s="2">
        <v>0</v>
      </c>
      <c r="BK109" s="1"/>
      <c r="BL109" s="1"/>
      <c r="BM109" s="1"/>
      <c r="BN109" s="1"/>
      <c r="BO109" s="1"/>
      <c r="BP109" s="1"/>
      <c r="BQ109" s="1"/>
      <c r="BR109" s="1" t="s">
        <v>113</v>
      </c>
      <c r="BS109" s="2">
        <v>1200</v>
      </c>
      <c r="BV109" s="1"/>
      <c r="BW109" s="1"/>
      <c r="BX109" s="1"/>
      <c r="BY109" s="1"/>
      <c r="BZ109" s="1"/>
      <c r="CA109" s="1"/>
      <c r="CB109" s="1" t="s">
        <v>113</v>
      </c>
      <c r="CC109" s="2">
        <v>1200</v>
      </c>
      <c r="CP109" s="1"/>
      <c r="CQ109" s="1"/>
      <c r="CR109" s="1"/>
      <c r="CS109" s="1"/>
      <c r="CT109" s="1"/>
      <c r="CU109" s="1"/>
      <c r="CV109" s="1"/>
      <c r="CW109" s="6"/>
    </row>
    <row r="110" spans="1:111" ht="14.65" customHeight="1" thickBot="1" x14ac:dyDescent="0.3">
      <c r="A110" s="1"/>
      <c r="B110" s="69"/>
      <c r="C110" s="69"/>
      <c r="D110" s="69"/>
      <c r="E110" s="69"/>
      <c r="F110" s="69"/>
      <c r="G110" s="70" t="s">
        <v>91</v>
      </c>
      <c r="H110" s="138">
        <v>0</v>
      </c>
      <c r="I110" s="200">
        <v>0</v>
      </c>
      <c r="J110" s="200">
        <v>0</v>
      </c>
      <c r="K110" s="200">
        <v>0</v>
      </c>
      <c r="L110" s="94">
        <f t="shared" si="65"/>
        <v>0</v>
      </c>
      <c r="M110" s="105">
        <v>105</v>
      </c>
      <c r="N110" s="106">
        <v>100</v>
      </c>
      <c r="O110" s="107">
        <v>100</v>
      </c>
      <c r="P110" s="143">
        <f t="shared" si="62"/>
        <v>100</v>
      </c>
      <c r="Q110" s="133">
        <f t="shared" si="63"/>
        <v>100</v>
      </c>
      <c r="R110" s="134">
        <f t="shared" si="64"/>
        <v>0</v>
      </c>
      <c r="T110" s="1"/>
      <c r="U110" s="2"/>
      <c r="W110" s="1"/>
      <c r="X110" s="1"/>
      <c r="Y110" s="1"/>
      <c r="Z110" s="1"/>
      <c r="AA110" s="1"/>
      <c r="AB110" s="1"/>
      <c r="AC110" s="1"/>
      <c r="AD110" s="1" t="s">
        <v>85</v>
      </c>
      <c r="AE110" s="2">
        <v>18.309999999999999</v>
      </c>
      <c r="AH110" s="1"/>
      <c r="AI110" s="1"/>
      <c r="AJ110" s="1"/>
      <c r="AK110" s="1"/>
      <c r="AL110" s="1"/>
      <c r="AM110" s="1"/>
      <c r="AN110" s="1" t="s">
        <v>85</v>
      </c>
      <c r="AO110" s="2">
        <v>0</v>
      </c>
      <c r="AQ110" s="1"/>
      <c r="AR110" s="1"/>
      <c r="AS110" s="1"/>
      <c r="AT110" s="1"/>
      <c r="AU110" s="1"/>
      <c r="AV110" s="1"/>
      <c r="AW110" s="1"/>
      <c r="AX110" s="1" t="s">
        <v>85</v>
      </c>
      <c r="AY110" s="2">
        <v>0</v>
      </c>
      <c r="BB110" s="1"/>
      <c r="BC110" s="1"/>
      <c r="BD110" s="1"/>
      <c r="BE110" s="1"/>
      <c r="BF110" s="1"/>
      <c r="BG110" s="1"/>
      <c r="BH110" s="1" t="s">
        <v>85</v>
      </c>
      <c r="BI110" s="2">
        <v>0</v>
      </c>
      <c r="BK110" s="1"/>
      <c r="BL110" s="1"/>
      <c r="BM110" s="1"/>
      <c r="BN110" s="1"/>
      <c r="BO110" s="1"/>
      <c r="BP110" s="1"/>
      <c r="BQ110" s="1"/>
      <c r="BR110" s="1" t="s">
        <v>85</v>
      </c>
      <c r="BS110" s="2">
        <v>250</v>
      </c>
      <c r="BV110" s="1"/>
      <c r="BW110" s="1"/>
      <c r="BX110" s="1"/>
      <c r="BY110" s="1"/>
      <c r="BZ110" s="1"/>
      <c r="CA110" s="1"/>
      <c r="CB110" s="1" t="s">
        <v>85</v>
      </c>
      <c r="CC110" s="2">
        <v>250</v>
      </c>
      <c r="CP110" s="1"/>
      <c r="CQ110" s="1"/>
      <c r="CR110" s="1"/>
      <c r="CS110" s="1"/>
      <c r="CT110" s="1"/>
      <c r="CU110" s="1"/>
      <c r="CV110" s="1"/>
      <c r="CW110" s="6"/>
    </row>
    <row r="111" spans="1:111" ht="14.65" customHeight="1" thickBot="1" x14ac:dyDescent="0.3">
      <c r="A111" s="1"/>
      <c r="B111" s="18"/>
      <c r="C111" s="18"/>
      <c r="D111" s="18"/>
      <c r="E111" s="18"/>
      <c r="F111" s="18" t="s">
        <v>71</v>
      </c>
      <c r="G111" s="18"/>
      <c r="H111" s="54">
        <f t="shared" ref="H111:R111" si="66">ROUND(SUM(H101:H110),5)</f>
        <v>4749.68</v>
      </c>
      <c r="I111" s="36">
        <f t="shared" si="66"/>
        <v>-18.93</v>
      </c>
      <c r="J111" s="36">
        <f t="shared" si="66"/>
        <v>40.74</v>
      </c>
      <c r="K111" s="36">
        <f t="shared" si="66"/>
        <v>1674.76</v>
      </c>
      <c r="L111" s="109">
        <f t="shared" si="66"/>
        <v>6446.25</v>
      </c>
      <c r="M111" s="108">
        <f t="shared" si="66"/>
        <v>10805</v>
      </c>
      <c r="N111" s="109">
        <f t="shared" si="66"/>
        <v>10000</v>
      </c>
      <c r="O111" s="97">
        <f t="shared" si="66"/>
        <v>9000</v>
      </c>
      <c r="P111" s="109">
        <f t="shared" si="66"/>
        <v>3553.75</v>
      </c>
      <c r="Q111" s="109">
        <f t="shared" si="66"/>
        <v>2553.75</v>
      </c>
      <c r="R111" s="110">
        <f t="shared" si="66"/>
        <v>-1000</v>
      </c>
      <c r="T111" s="1"/>
      <c r="U111" s="2"/>
      <c r="W111" s="1"/>
      <c r="X111" s="1"/>
      <c r="Y111" s="1"/>
      <c r="Z111" s="1"/>
      <c r="AA111" s="1"/>
      <c r="AB111" s="1"/>
      <c r="AC111" s="1"/>
      <c r="AD111" s="1" t="s">
        <v>91</v>
      </c>
      <c r="AE111" s="17">
        <v>0</v>
      </c>
      <c r="AH111" s="1"/>
      <c r="AI111" s="1"/>
      <c r="AJ111" s="1"/>
      <c r="AK111" s="1"/>
      <c r="AL111" s="1"/>
      <c r="AM111" s="1"/>
      <c r="AN111" s="1" t="s">
        <v>91</v>
      </c>
      <c r="AO111" s="17">
        <v>0</v>
      </c>
      <c r="AQ111" s="1"/>
      <c r="AR111" s="1"/>
      <c r="AS111" s="1"/>
      <c r="AT111" s="1"/>
      <c r="AU111" s="1"/>
      <c r="AV111" s="1"/>
      <c r="AW111" s="1"/>
      <c r="AX111" s="1" t="s">
        <v>91</v>
      </c>
      <c r="AY111" s="17">
        <v>0</v>
      </c>
      <c r="BB111" s="1"/>
      <c r="BC111" s="1"/>
      <c r="BD111" s="1"/>
      <c r="BE111" s="1"/>
      <c r="BF111" s="1"/>
      <c r="BG111" s="1"/>
      <c r="BH111" s="1" t="s">
        <v>91</v>
      </c>
      <c r="BI111" s="17">
        <v>0</v>
      </c>
      <c r="BK111" s="1"/>
      <c r="BL111" s="1"/>
      <c r="BM111" s="1"/>
      <c r="BN111" s="1"/>
      <c r="BO111" s="1"/>
      <c r="BP111" s="1"/>
      <c r="BQ111" s="1"/>
      <c r="BR111" s="1" t="s">
        <v>91</v>
      </c>
      <c r="BS111" s="17">
        <v>105</v>
      </c>
      <c r="BV111" s="1"/>
      <c r="BW111" s="1"/>
      <c r="BX111" s="1"/>
      <c r="BY111" s="1"/>
      <c r="BZ111" s="1"/>
      <c r="CA111" s="1"/>
      <c r="CB111" s="1" t="s">
        <v>91</v>
      </c>
      <c r="CC111" s="17">
        <v>100</v>
      </c>
      <c r="CP111" s="1"/>
      <c r="CQ111" s="1"/>
      <c r="CR111" s="1"/>
      <c r="CS111" s="1"/>
      <c r="CT111" s="1"/>
      <c r="CU111" s="1"/>
      <c r="CV111" s="1"/>
      <c r="CW111" s="6"/>
    </row>
    <row r="112" spans="1:111" ht="14.65" customHeight="1" x14ac:dyDescent="0.25">
      <c r="A112" s="1"/>
      <c r="B112" s="1"/>
      <c r="C112" s="1"/>
      <c r="D112" s="1"/>
      <c r="E112" s="1"/>
      <c r="F112" s="1" t="s">
        <v>72</v>
      </c>
      <c r="G112" s="1"/>
      <c r="H112" s="53"/>
      <c r="I112" s="35"/>
      <c r="J112" s="35"/>
      <c r="K112" s="35"/>
      <c r="L112" s="102"/>
      <c r="M112" s="101"/>
      <c r="N112" s="102"/>
      <c r="O112" s="103"/>
      <c r="P112" s="102"/>
      <c r="Q112" s="102"/>
      <c r="R112" s="103"/>
      <c r="T112" s="1"/>
      <c r="U112" s="2"/>
      <c r="W112" s="1"/>
      <c r="X112" s="1"/>
      <c r="Y112" s="1"/>
      <c r="Z112" s="1"/>
      <c r="AA112" s="1"/>
      <c r="AB112" s="1"/>
      <c r="AC112" s="1" t="s">
        <v>71</v>
      </c>
      <c r="AD112" s="1"/>
      <c r="AE112" s="2">
        <f>ROUND(SUM(AE102:AE111),5)</f>
        <v>4749.68</v>
      </c>
      <c r="AH112" s="1"/>
      <c r="AI112" s="1"/>
      <c r="AJ112" s="1"/>
      <c r="AK112" s="1"/>
      <c r="AL112" s="1"/>
      <c r="AM112" s="1" t="s">
        <v>71</v>
      </c>
      <c r="AN112" s="1"/>
      <c r="AO112" s="2">
        <f>ROUND(SUM(AO102:AO111),5)</f>
        <v>-18.93</v>
      </c>
      <c r="AQ112" s="1"/>
      <c r="AR112" s="1"/>
      <c r="AS112" s="1"/>
      <c r="AT112" s="1"/>
      <c r="AU112" s="1"/>
      <c r="AV112" s="1"/>
      <c r="AW112" s="1" t="s">
        <v>71</v>
      </c>
      <c r="AX112" s="1"/>
      <c r="AY112" s="2">
        <f>ROUND(SUM(AY102:AY111),5)</f>
        <v>-2379.2600000000002</v>
      </c>
      <c r="BB112" s="1"/>
      <c r="BC112" s="1"/>
      <c r="BD112" s="1"/>
      <c r="BE112" s="1"/>
      <c r="BF112" s="1"/>
      <c r="BG112" s="1" t="s">
        <v>71</v>
      </c>
      <c r="BH112" s="1"/>
      <c r="BI112" s="2">
        <f>ROUND(SUM(BI102:BI111),5)</f>
        <v>4274.76</v>
      </c>
      <c r="BK112" s="1"/>
      <c r="BL112" s="1"/>
      <c r="BM112" s="1"/>
      <c r="BN112" s="1"/>
      <c r="BO112" s="1"/>
      <c r="BP112" s="1"/>
      <c r="BQ112" s="1" t="s">
        <v>71</v>
      </c>
      <c r="BR112" s="1"/>
      <c r="BS112" s="2">
        <f>ROUND(SUM(BS102:BS111),5)</f>
        <v>10805</v>
      </c>
      <c r="BV112" s="1"/>
      <c r="BW112" s="1"/>
      <c r="BX112" s="1"/>
      <c r="BY112" s="1"/>
      <c r="BZ112" s="1"/>
      <c r="CA112" s="1" t="s">
        <v>71</v>
      </c>
      <c r="CB112" s="1"/>
      <c r="CC112" s="2">
        <f>ROUND(SUM(CC102:CC111),5)</f>
        <v>10000</v>
      </c>
      <c r="CP112" s="1"/>
      <c r="CQ112" s="1"/>
      <c r="CR112" s="1"/>
      <c r="CS112" s="1"/>
      <c r="CT112" s="1"/>
      <c r="CU112" s="1"/>
      <c r="CV112" s="1"/>
      <c r="CW112" s="6"/>
    </row>
    <row r="113" spans="1:101" ht="14.65" customHeight="1" x14ac:dyDescent="0.25">
      <c r="A113" s="1"/>
      <c r="B113" s="1"/>
      <c r="C113" s="1"/>
      <c r="D113" s="1"/>
      <c r="E113" s="1"/>
      <c r="F113" s="1"/>
      <c r="G113" s="1" t="s">
        <v>73</v>
      </c>
      <c r="H113" s="137">
        <v>1771.08</v>
      </c>
      <c r="I113" s="198">
        <v>177.12</v>
      </c>
      <c r="J113" s="198">
        <v>268.77999999999997</v>
      </c>
      <c r="K113" s="198">
        <v>234</v>
      </c>
      <c r="L113" s="90">
        <f>SUM(H113:K113)</f>
        <v>2450.9799999999996</v>
      </c>
      <c r="M113" s="104">
        <v>3000</v>
      </c>
      <c r="N113" s="92">
        <v>3000</v>
      </c>
      <c r="O113" s="93">
        <v>2500</v>
      </c>
      <c r="P113" s="142">
        <f t="shared" ref="P113:P119" si="67">N113-L113</f>
        <v>549.02000000000044</v>
      </c>
      <c r="Q113" s="131">
        <f t="shared" ref="Q113:Q119" si="68">O113-L113</f>
        <v>49.020000000000437</v>
      </c>
      <c r="R113" s="132">
        <f t="shared" ref="R113:R119" si="69">O113-N113</f>
        <v>-500</v>
      </c>
      <c r="T113" s="1"/>
      <c r="U113" s="2"/>
      <c r="W113" s="1"/>
      <c r="X113" s="1"/>
      <c r="Y113" s="1"/>
      <c r="Z113" s="1"/>
      <c r="AA113" s="1"/>
      <c r="AB113" s="1"/>
      <c r="AC113" s="1" t="s">
        <v>72</v>
      </c>
      <c r="AD113" s="1"/>
      <c r="AE113" s="2"/>
      <c r="AH113" s="1"/>
      <c r="AI113" s="1"/>
      <c r="AJ113" s="1"/>
      <c r="AK113" s="1"/>
      <c r="AL113" s="1"/>
      <c r="AM113" s="1" t="s">
        <v>72</v>
      </c>
      <c r="AN113" s="1"/>
      <c r="AO113" s="2"/>
      <c r="AQ113" s="1"/>
      <c r="AR113" s="1"/>
      <c r="AS113" s="1"/>
      <c r="AT113" s="1"/>
      <c r="AU113" s="1"/>
      <c r="AV113" s="1"/>
      <c r="AW113" s="1" t="s">
        <v>72</v>
      </c>
      <c r="AX113" s="1"/>
      <c r="AY113" s="2"/>
      <c r="BB113" s="1"/>
      <c r="BC113" s="1"/>
      <c r="BD113" s="1"/>
      <c r="BE113" s="1"/>
      <c r="BF113" s="1"/>
      <c r="BG113" s="1" t="s">
        <v>72</v>
      </c>
      <c r="BH113" s="1"/>
      <c r="BI113" s="2"/>
      <c r="BK113" s="1"/>
      <c r="BL113" s="1"/>
      <c r="BM113" s="1"/>
      <c r="BN113" s="1"/>
      <c r="BO113" s="1"/>
      <c r="BP113" s="1"/>
      <c r="BQ113" s="1" t="s">
        <v>72</v>
      </c>
      <c r="BR113" s="1"/>
      <c r="BS113" s="2"/>
      <c r="BV113" s="1"/>
      <c r="BW113" s="1"/>
      <c r="BX113" s="1"/>
      <c r="BY113" s="1"/>
      <c r="BZ113" s="1"/>
      <c r="CA113" s="1" t="s">
        <v>72</v>
      </c>
      <c r="CB113" s="1"/>
      <c r="CC113" s="2"/>
      <c r="CP113" s="1"/>
      <c r="CQ113" s="1"/>
      <c r="CR113" s="1"/>
      <c r="CS113" s="1"/>
      <c r="CT113" s="1"/>
      <c r="CU113" s="1"/>
      <c r="CV113" s="1"/>
      <c r="CW113" s="6"/>
    </row>
    <row r="114" spans="1:101" ht="14.65" customHeight="1" x14ac:dyDescent="0.25">
      <c r="A114" s="1"/>
      <c r="B114" s="1"/>
      <c r="C114" s="1"/>
      <c r="D114" s="1"/>
      <c r="E114" s="1"/>
      <c r="F114" s="1"/>
      <c r="G114" s="1" t="s">
        <v>88</v>
      </c>
      <c r="H114" s="137">
        <v>0</v>
      </c>
      <c r="I114" s="198">
        <v>0</v>
      </c>
      <c r="J114" s="198">
        <v>0</v>
      </c>
      <c r="K114" s="208">
        <v>-120</v>
      </c>
      <c r="L114" s="90">
        <f t="shared" ref="L114:L119" si="70">SUM(H114:K114)</f>
        <v>-120</v>
      </c>
      <c r="M114" s="104">
        <v>500</v>
      </c>
      <c r="N114" s="92">
        <v>500</v>
      </c>
      <c r="O114" s="93">
        <v>500</v>
      </c>
      <c r="P114" s="142">
        <f t="shared" si="67"/>
        <v>620</v>
      </c>
      <c r="Q114" s="131">
        <f t="shared" si="68"/>
        <v>620</v>
      </c>
      <c r="R114" s="132">
        <f t="shared" si="69"/>
        <v>0</v>
      </c>
      <c r="T114" s="1"/>
      <c r="U114" s="2"/>
      <c r="W114" s="1"/>
      <c r="X114" s="1"/>
      <c r="Y114" s="1"/>
      <c r="Z114" s="1"/>
      <c r="AA114" s="1"/>
      <c r="AB114" s="1"/>
      <c r="AC114" s="1"/>
      <c r="AD114" s="1" t="s">
        <v>73</v>
      </c>
      <c r="AE114" s="2">
        <v>1771.08</v>
      </c>
      <c r="AH114" s="1"/>
      <c r="AI114" s="1"/>
      <c r="AJ114" s="1"/>
      <c r="AK114" s="1"/>
      <c r="AL114" s="1"/>
      <c r="AM114" s="1"/>
      <c r="AN114" s="1" t="s">
        <v>73</v>
      </c>
      <c r="AO114" s="2">
        <v>177.12</v>
      </c>
      <c r="AQ114" s="1"/>
      <c r="AR114" s="1"/>
      <c r="AS114" s="1"/>
      <c r="AT114" s="1"/>
      <c r="AU114" s="1"/>
      <c r="AV114" s="1"/>
      <c r="AW114" s="1"/>
      <c r="AX114" s="1" t="s">
        <v>73</v>
      </c>
      <c r="AY114" s="2">
        <v>268.77999999999997</v>
      </c>
      <c r="BB114" s="1"/>
      <c r="BC114" s="1"/>
      <c r="BD114" s="1"/>
      <c r="BE114" s="1"/>
      <c r="BF114" s="1"/>
      <c r="BG114" s="1"/>
      <c r="BH114" s="1" t="s">
        <v>73</v>
      </c>
      <c r="BI114" s="2">
        <v>234</v>
      </c>
      <c r="BK114" s="1"/>
      <c r="BL114" s="1"/>
      <c r="BM114" s="1"/>
      <c r="BN114" s="1"/>
      <c r="BO114" s="1"/>
      <c r="BP114" s="1"/>
      <c r="BQ114" s="1"/>
      <c r="BR114" s="1" t="s">
        <v>73</v>
      </c>
      <c r="BS114" s="2">
        <v>3000</v>
      </c>
      <c r="BV114" s="1"/>
      <c r="BW114" s="1"/>
      <c r="BX114" s="1"/>
      <c r="BY114" s="1"/>
      <c r="BZ114" s="1"/>
      <c r="CA114" s="1"/>
      <c r="CB114" s="1" t="s">
        <v>73</v>
      </c>
      <c r="CC114" s="2">
        <v>3000</v>
      </c>
      <c r="CP114" s="1"/>
      <c r="CQ114" s="1"/>
      <c r="CR114" s="1"/>
      <c r="CS114" s="1"/>
      <c r="CT114" s="1"/>
      <c r="CU114" s="1"/>
      <c r="CV114" s="1"/>
      <c r="CW114" s="6"/>
    </row>
    <row r="115" spans="1:101" ht="14.65" customHeight="1" x14ac:dyDescent="0.25">
      <c r="A115" s="1"/>
      <c r="B115" s="1"/>
      <c r="C115" s="1"/>
      <c r="D115" s="1"/>
      <c r="E115" s="1"/>
      <c r="F115" s="1"/>
      <c r="G115" s="1" t="s">
        <v>94</v>
      </c>
      <c r="H115" s="137">
        <v>0</v>
      </c>
      <c r="I115" s="198">
        <v>0</v>
      </c>
      <c r="J115" s="198">
        <v>0</v>
      </c>
      <c r="K115" s="198">
        <v>0</v>
      </c>
      <c r="L115" s="90">
        <f t="shared" si="70"/>
        <v>0</v>
      </c>
      <c r="M115" s="104">
        <v>100</v>
      </c>
      <c r="N115" s="92">
        <v>100</v>
      </c>
      <c r="O115" s="93">
        <v>100</v>
      </c>
      <c r="P115" s="142">
        <f t="shared" si="67"/>
        <v>100</v>
      </c>
      <c r="Q115" s="131">
        <f t="shared" si="68"/>
        <v>100</v>
      </c>
      <c r="R115" s="132">
        <f t="shared" si="69"/>
        <v>0</v>
      </c>
      <c r="T115" s="1"/>
      <c r="U115" s="2"/>
      <c r="W115" s="1"/>
      <c r="X115" s="1"/>
      <c r="Y115" s="1"/>
      <c r="Z115" s="1"/>
      <c r="AA115" s="1"/>
      <c r="AB115" s="1"/>
      <c r="AC115" s="1"/>
      <c r="AD115" s="1" t="s">
        <v>88</v>
      </c>
      <c r="AE115" s="2">
        <v>0</v>
      </c>
      <c r="AH115" s="1"/>
      <c r="AI115" s="1"/>
      <c r="AJ115" s="1"/>
      <c r="AK115" s="1"/>
      <c r="AL115" s="1"/>
      <c r="AM115" s="1"/>
      <c r="AN115" s="1" t="s">
        <v>88</v>
      </c>
      <c r="AO115" s="2">
        <v>0</v>
      </c>
      <c r="AQ115" s="1"/>
      <c r="AR115" s="1"/>
      <c r="AS115" s="1"/>
      <c r="AT115" s="1"/>
      <c r="AU115" s="1"/>
      <c r="AV115" s="1"/>
      <c r="AW115" s="1"/>
      <c r="AX115" s="1" t="s">
        <v>88</v>
      </c>
      <c r="AY115" s="2">
        <v>0</v>
      </c>
      <c r="BB115" s="1"/>
      <c r="BC115" s="1"/>
      <c r="BD115" s="1"/>
      <c r="BE115" s="1"/>
      <c r="BF115" s="1"/>
      <c r="BG115" s="1"/>
      <c r="BH115" s="1" t="s">
        <v>88</v>
      </c>
      <c r="BI115" s="2">
        <v>-120</v>
      </c>
      <c r="BK115" s="1"/>
      <c r="BL115" s="1"/>
      <c r="BM115" s="1"/>
      <c r="BN115" s="1"/>
      <c r="BO115" s="1"/>
      <c r="BP115" s="1"/>
      <c r="BQ115" s="1"/>
      <c r="BR115" s="1" t="s">
        <v>88</v>
      </c>
      <c r="BS115" s="2">
        <v>500</v>
      </c>
      <c r="BV115" s="1"/>
      <c r="BW115" s="1"/>
      <c r="BX115" s="1"/>
      <c r="BY115" s="1"/>
      <c r="BZ115" s="1"/>
      <c r="CA115" s="1"/>
      <c r="CB115" s="1" t="s">
        <v>88</v>
      </c>
      <c r="CC115" s="2">
        <v>500</v>
      </c>
      <c r="CP115" s="1"/>
      <c r="CQ115" s="1"/>
      <c r="CR115" s="1"/>
      <c r="CS115" s="1"/>
      <c r="CT115" s="1"/>
      <c r="CU115" s="1"/>
      <c r="CV115" s="1"/>
      <c r="CW115" s="6"/>
    </row>
    <row r="116" spans="1:101" ht="14.65" customHeight="1" x14ac:dyDescent="0.25">
      <c r="A116" s="1"/>
      <c r="B116" s="1"/>
      <c r="C116" s="1"/>
      <c r="D116" s="1"/>
      <c r="E116" s="1"/>
      <c r="F116" s="1"/>
      <c r="G116" s="1" t="s">
        <v>74</v>
      </c>
      <c r="H116" s="137">
        <v>0</v>
      </c>
      <c r="I116" s="198">
        <v>0</v>
      </c>
      <c r="J116" s="198">
        <v>0</v>
      </c>
      <c r="K116" s="198">
        <v>0</v>
      </c>
      <c r="L116" s="90">
        <f t="shared" si="70"/>
        <v>0</v>
      </c>
      <c r="M116" s="104">
        <v>100</v>
      </c>
      <c r="N116" s="92">
        <v>100</v>
      </c>
      <c r="O116" s="93">
        <v>100</v>
      </c>
      <c r="P116" s="142">
        <f t="shared" si="67"/>
        <v>100</v>
      </c>
      <c r="Q116" s="131">
        <f t="shared" si="68"/>
        <v>100</v>
      </c>
      <c r="R116" s="132">
        <f t="shared" si="69"/>
        <v>0</v>
      </c>
      <c r="T116" s="1"/>
      <c r="U116" s="2"/>
      <c r="W116" s="1"/>
      <c r="X116" s="1"/>
      <c r="Y116" s="1"/>
      <c r="Z116" s="1"/>
      <c r="AA116" s="1"/>
      <c r="AB116" s="1"/>
      <c r="AC116" s="1"/>
      <c r="AD116" s="1" t="s">
        <v>94</v>
      </c>
      <c r="AE116" s="2">
        <v>0</v>
      </c>
      <c r="AH116" s="1"/>
      <c r="AI116" s="1"/>
      <c r="AJ116" s="1"/>
      <c r="AK116" s="1"/>
      <c r="AL116" s="1"/>
      <c r="AM116" s="1"/>
      <c r="AN116" s="1" t="s">
        <v>94</v>
      </c>
      <c r="AO116" s="2">
        <v>0</v>
      </c>
      <c r="AQ116" s="1"/>
      <c r="AR116" s="1"/>
      <c r="AS116" s="1"/>
      <c r="AT116" s="1"/>
      <c r="AU116" s="1"/>
      <c r="AV116" s="1"/>
      <c r="AW116" s="1"/>
      <c r="AX116" s="1" t="s">
        <v>94</v>
      </c>
      <c r="AY116" s="2">
        <v>0</v>
      </c>
      <c r="BB116" s="1"/>
      <c r="BC116" s="1"/>
      <c r="BD116" s="1"/>
      <c r="BE116" s="1"/>
      <c r="BF116" s="1"/>
      <c r="BG116" s="1"/>
      <c r="BH116" s="1" t="s">
        <v>94</v>
      </c>
      <c r="BI116" s="2">
        <v>0</v>
      </c>
      <c r="BK116" s="1"/>
      <c r="BL116" s="1"/>
      <c r="BM116" s="1"/>
      <c r="BN116" s="1"/>
      <c r="BO116" s="1"/>
      <c r="BP116" s="1"/>
      <c r="BQ116" s="1"/>
      <c r="BR116" s="1" t="s">
        <v>94</v>
      </c>
      <c r="BS116" s="2">
        <v>100</v>
      </c>
      <c r="BV116" s="1"/>
      <c r="BW116" s="1"/>
      <c r="BX116" s="1"/>
      <c r="BY116" s="1"/>
      <c r="BZ116" s="1"/>
      <c r="CA116" s="1"/>
      <c r="CB116" s="1" t="s">
        <v>94</v>
      </c>
      <c r="CC116" s="2">
        <v>100</v>
      </c>
      <c r="CP116" s="1"/>
      <c r="CQ116" s="1"/>
      <c r="CR116" s="1"/>
      <c r="CS116" s="1"/>
      <c r="CT116" s="1"/>
      <c r="CU116" s="1"/>
      <c r="CV116" s="1"/>
      <c r="CW116" s="6"/>
    </row>
    <row r="117" spans="1:101" ht="14.65" customHeight="1" x14ac:dyDescent="0.25">
      <c r="A117" s="1"/>
      <c r="B117" s="1"/>
      <c r="C117" s="1"/>
      <c r="D117" s="1"/>
      <c r="E117" s="1"/>
      <c r="F117" s="1"/>
      <c r="G117" s="1" t="s">
        <v>75</v>
      </c>
      <c r="H117" s="137">
        <v>857.27</v>
      </c>
      <c r="I117" s="198">
        <v>0</v>
      </c>
      <c r="J117" s="198">
        <v>70.97</v>
      </c>
      <c r="K117" s="198">
        <v>279.70999999999998</v>
      </c>
      <c r="L117" s="90">
        <f t="shared" si="70"/>
        <v>1207.95</v>
      </c>
      <c r="M117" s="104">
        <v>3000</v>
      </c>
      <c r="N117" s="92">
        <v>3000</v>
      </c>
      <c r="O117" s="93">
        <v>2000</v>
      </c>
      <c r="P117" s="142">
        <f t="shared" si="67"/>
        <v>1792.05</v>
      </c>
      <c r="Q117" s="131">
        <f t="shared" si="68"/>
        <v>792.05</v>
      </c>
      <c r="R117" s="132">
        <f t="shared" si="69"/>
        <v>-1000</v>
      </c>
      <c r="T117" s="1"/>
      <c r="U117" s="2"/>
      <c r="W117" s="1"/>
      <c r="X117" s="1"/>
      <c r="Y117" s="1"/>
      <c r="Z117" s="1"/>
      <c r="AA117" s="1"/>
      <c r="AB117" s="1"/>
      <c r="AC117" s="1"/>
      <c r="AD117" s="1" t="s">
        <v>74</v>
      </c>
      <c r="AE117" s="2">
        <v>0</v>
      </c>
      <c r="AH117" s="1"/>
      <c r="AI117" s="1"/>
      <c r="AJ117" s="1"/>
      <c r="AK117" s="1"/>
      <c r="AL117" s="1"/>
      <c r="AM117" s="1"/>
      <c r="AN117" s="1" t="s">
        <v>74</v>
      </c>
      <c r="AO117" s="2">
        <v>0</v>
      </c>
      <c r="AQ117" s="1"/>
      <c r="AR117" s="1"/>
      <c r="AS117" s="1"/>
      <c r="AT117" s="1"/>
      <c r="AU117" s="1"/>
      <c r="AV117" s="1"/>
      <c r="AW117" s="1"/>
      <c r="AX117" s="1" t="s">
        <v>74</v>
      </c>
      <c r="AY117" s="2">
        <v>0</v>
      </c>
      <c r="BB117" s="1"/>
      <c r="BC117" s="1"/>
      <c r="BD117" s="1"/>
      <c r="BE117" s="1"/>
      <c r="BF117" s="1"/>
      <c r="BG117" s="1"/>
      <c r="BH117" s="1" t="s">
        <v>74</v>
      </c>
      <c r="BI117" s="2">
        <v>0</v>
      </c>
      <c r="BK117" s="1"/>
      <c r="BL117" s="1"/>
      <c r="BM117" s="1"/>
      <c r="BN117" s="1"/>
      <c r="BO117" s="1"/>
      <c r="BP117" s="1"/>
      <c r="BQ117" s="1"/>
      <c r="BR117" s="1" t="s">
        <v>74</v>
      </c>
      <c r="BS117" s="2">
        <v>100</v>
      </c>
      <c r="BV117" s="1"/>
      <c r="BW117" s="1"/>
      <c r="BX117" s="1"/>
      <c r="BY117" s="1"/>
      <c r="BZ117" s="1"/>
      <c r="CA117" s="1"/>
      <c r="CB117" s="1" t="s">
        <v>74</v>
      </c>
      <c r="CC117" s="2">
        <v>100</v>
      </c>
      <c r="CP117" s="1"/>
      <c r="CQ117" s="1"/>
      <c r="CR117" s="1"/>
      <c r="CS117" s="1"/>
      <c r="CT117" s="1"/>
      <c r="CU117" s="1"/>
      <c r="CV117" s="1"/>
      <c r="CW117" s="6"/>
    </row>
    <row r="118" spans="1:101" ht="14.65" customHeight="1" x14ac:dyDescent="0.25">
      <c r="A118" s="1"/>
      <c r="B118" s="1"/>
      <c r="C118" s="1"/>
      <c r="D118" s="1"/>
      <c r="E118" s="1"/>
      <c r="F118" s="1"/>
      <c r="G118" s="1" t="s">
        <v>76</v>
      </c>
      <c r="H118" s="137">
        <v>111.89</v>
      </c>
      <c r="I118" s="198">
        <v>0</v>
      </c>
      <c r="J118" s="198">
        <v>0</v>
      </c>
      <c r="K118" s="198">
        <v>0</v>
      </c>
      <c r="L118" s="90">
        <f t="shared" si="70"/>
        <v>111.89</v>
      </c>
      <c r="M118" s="104">
        <v>200</v>
      </c>
      <c r="N118" s="92">
        <v>200</v>
      </c>
      <c r="O118" s="93">
        <v>200</v>
      </c>
      <c r="P118" s="142">
        <f t="shared" si="67"/>
        <v>88.11</v>
      </c>
      <c r="Q118" s="131">
        <f t="shared" si="68"/>
        <v>88.11</v>
      </c>
      <c r="R118" s="132">
        <f t="shared" si="69"/>
        <v>0</v>
      </c>
      <c r="T118" s="1"/>
      <c r="U118" s="2"/>
      <c r="W118" s="1"/>
      <c r="X118" s="1"/>
      <c r="Y118" s="1"/>
      <c r="Z118" s="1"/>
      <c r="AA118" s="1"/>
      <c r="AB118" s="1"/>
      <c r="AC118" s="1"/>
      <c r="AD118" s="1" t="s">
        <v>75</v>
      </c>
      <c r="AE118" s="2">
        <v>857.27</v>
      </c>
      <c r="AH118" s="1"/>
      <c r="AI118" s="1"/>
      <c r="AJ118" s="1"/>
      <c r="AK118" s="1"/>
      <c r="AL118" s="1"/>
      <c r="AM118" s="1"/>
      <c r="AN118" s="1" t="s">
        <v>75</v>
      </c>
      <c r="AO118" s="2">
        <v>0</v>
      </c>
      <c r="AQ118" s="1"/>
      <c r="AR118" s="1"/>
      <c r="AS118" s="1"/>
      <c r="AT118" s="1"/>
      <c r="AU118" s="1"/>
      <c r="AV118" s="1"/>
      <c r="AW118" s="1"/>
      <c r="AX118" s="1" t="s">
        <v>75</v>
      </c>
      <c r="AY118" s="2">
        <v>70.97</v>
      </c>
      <c r="BB118" s="1"/>
      <c r="BC118" s="1"/>
      <c r="BD118" s="1"/>
      <c r="BE118" s="1"/>
      <c r="BF118" s="1"/>
      <c r="BG118" s="1"/>
      <c r="BH118" s="1" t="s">
        <v>75</v>
      </c>
      <c r="BI118" s="2">
        <v>279.70999999999998</v>
      </c>
      <c r="BK118" s="1"/>
      <c r="BL118" s="1"/>
      <c r="BM118" s="1"/>
      <c r="BN118" s="1"/>
      <c r="BO118" s="1"/>
      <c r="BP118" s="1"/>
      <c r="BQ118" s="1"/>
      <c r="BR118" s="1" t="s">
        <v>75</v>
      </c>
      <c r="BS118" s="2">
        <v>3000</v>
      </c>
      <c r="BV118" s="1"/>
      <c r="BW118" s="1"/>
      <c r="BX118" s="1"/>
      <c r="BY118" s="1"/>
      <c r="BZ118" s="1"/>
      <c r="CA118" s="1"/>
      <c r="CB118" s="1" t="s">
        <v>75</v>
      </c>
      <c r="CC118" s="2">
        <v>3000</v>
      </c>
      <c r="CP118" s="1"/>
      <c r="CQ118" s="1"/>
      <c r="CR118" s="1"/>
      <c r="CS118" s="1"/>
      <c r="CT118" s="1"/>
      <c r="CU118" s="1"/>
      <c r="CV118" s="1"/>
      <c r="CW118" s="6"/>
    </row>
    <row r="119" spans="1:101" ht="14.65" customHeight="1" thickBot="1" x14ac:dyDescent="0.3">
      <c r="A119" s="1"/>
      <c r="B119" s="69"/>
      <c r="C119" s="69"/>
      <c r="D119" s="69"/>
      <c r="E119" s="69"/>
      <c r="F119" s="69"/>
      <c r="G119" s="70" t="s">
        <v>77</v>
      </c>
      <c r="H119" s="138">
        <v>0</v>
      </c>
      <c r="I119" s="200">
        <v>0</v>
      </c>
      <c r="J119" s="200">
        <v>0</v>
      </c>
      <c r="K119" s="200">
        <v>0</v>
      </c>
      <c r="L119" s="94">
        <f t="shared" si="70"/>
        <v>0</v>
      </c>
      <c r="M119" s="105">
        <v>100</v>
      </c>
      <c r="N119" s="106">
        <v>100</v>
      </c>
      <c r="O119" s="107">
        <v>200</v>
      </c>
      <c r="P119" s="143">
        <f t="shared" si="67"/>
        <v>100</v>
      </c>
      <c r="Q119" s="133">
        <f t="shared" si="68"/>
        <v>200</v>
      </c>
      <c r="R119" s="134">
        <f t="shared" si="69"/>
        <v>100</v>
      </c>
      <c r="T119" s="1"/>
      <c r="U119" s="2"/>
      <c r="W119" s="1"/>
      <c r="X119" s="1"/>
      <c r="Y119" s="1"/>
      <c r="Z119" s="1"/>
      <c r="AA119" s="1"/>
      <c r="AB119" s="1"/>
      <c r="AC119" s="1"/>
      <c r="AD119" s="1" t="s">
        <v>76</v>
      </c>
      <c r="AE119" s="2">
        <v>111.89</v>
      </c>
      <c r="AH119" s="1"/>
      <c r="AI119" s="1"/>
      <c r="AJ119" s="1"/>
      <c r="AK119" s="1"/>
      <c r="AL119" s="1"/>
      <c r="AM119" s="1"/>
      <c r="AN119" s="1" t="s">
        <v>76</v>
      </c>
      <c r="AO119" s="2">
        <v>0</v>
      </c>
      <c r="AQ119" s="1"/>
      <c r="AR119" s="1"/>
      <c r="AS119" s="1"/>
      <c r="AT119" s="1"/>
      <c r="AU119" s="1"/>
      <c r="AV119" s="1"/>
      <c r="AW119" s="1"/>
      <c r="AX119" s="1" t="s">
        <v>76</v>
      </c>
      <c r="AY119" s="2">
        <v>0</v>
      </c>
      <c r="BB119" s="1"/>
      <c r="BC119" s="1"/>
      <c r="BD119" s="1"/>
      <c r="BE119" s="1"/>
      <c r="BF119" s="1"/>
      <c r="BG119" s="1"/>
      <c r="BH119" s="1" t="s">
        <v>76</v>
      </c>
      <c r="BI119" s="2">
        <v>0</v>
      </c>
      <c r="BK119" s="1"/>
      <c r="BL119" s="1"/>
      <c r="BM119" s="1"/>
      <c r="BN119" s="1"/>
      <c r="BO119" s="1"/>
      <c r="BP119" s="1"/>
      <c r="BQ119" s="1"/>
      <c r="BR119" s="1" t="s">
        <v>76</v>
      </c>
      <c r="BS119" s="2">
        <v>200</v>
      </c>
      <c r="BV119" s="1"/>
      <c r="BW119" s="1"/>
      <c r="BX119" s="1"/>
      <c r="BY119" s="1"/>
      <c r="BZ119" s="1"/>
      <c r="CA119" s="1"/>
      <c r="CB119" s="1" t="s">
        <v>76</v>
      </c>
      <c r="CC119" s="2">
        <v>200</v>
      </c>
      <c r="CP119" s="1"/>
      <c r="CQ119" s="1"/>
      <c r="CR119" s="1"/>
      <c r="CS119" s="1"/>
      <c r="CT119" s="1"/>
      <c r="CU119" s="1"/>
      <c r="CV119" s="1"/>
      <c r="CW119" s="6"/>
    </row>
    <row r="120" spans="1:101" ht="14.65" customHeight="1" thickBot="1" x14ac:dyDescent="0.3">
      <c r="A120" s="1"/>
      <c r="B120" s="18"/>
      <c r="C120" s="18"/>
      <c r="D120" s="18"/>
      <c r="E120" s="18"/>
      <c r="F120" s="18" t="s">
        <v>78</v>
      </c>
      <c r="G120" s="18"/>
      <c r="H120" s="54">
        <f>ROUND(SUM(H112:H119),5)</f>
        <v>2740.24</v>
      </c>
      <c r="I120" s="36">
        <f t="shared" ref="I120:R120" si="71">ROUND(SUM(I112:I119),5)</f>
        <v>177.12</v>
      </c>
      <c r="J120" s="36">
        <f t="shared" si="71"/>
        <v>339.75</v>
      </c>
      <c r="K120" s="36">
        <f t="shared" si="71"/>
        <v>393.71</v>
      </c>
      <c r="L120" s="109">
        <f t="shared" si="71"/>
        <v>3650.82</v>
      </c>
      <c r="M120" s="108">
        <f t="shared" si="71"/>
        <v>7000</v>
      </c>
      <c r="N120" s="109">
        <f t="shared" si="71"/>
        <v>7000</v>
      </c>
      <c r="O120" s="97">
        <f t="shared" si="71"/>
        <v>5600</v>
      </c>
      <c r="P120" s="109">
        <f t="shared" si="71"/>
        <v>3349.18</v>
      </c>
      <c r="Q120" s="109">
        <f t="shared" si="71"/>
        <v>1949.18</v>
      </c>
      <c r="R120" s="110">
        <f t="shared" si="71"/>
        <v>-1400</v>
      </c>
      <c r="T120" s="1"/>
      <c r="U120" s="2"/>
      <c r="W120" s="1"/>
      <c r="X120" s="1"/>
      <c r="Y120" s="1"/>
      <c r="Z120" s="1"/>
      <c r="AA120" s="1"/>
      <c r="AB120" s="1"/>
      <c r="AC120" s="1"/>
      <c r="AD120" s="1" t="s">
        <v>77</v>
      </c>
      <c r="AE120" s="17">
        <v>0</v>
      </c>
      <c r="AH120" s="1"/>
      <c r="AI120" s="1"/>
      <c r="AJ120" s="1"/>
      <c r="AK120" s="1"/>
      <c r="AL120" s="1"/>
      <c r="AM120" s="1"/>
      <c r="AN120" s="1" t="s">
        <v>77</v>
      </c>
      <c r="AO120" s="17">
        <v>0</v>
      </c>
      <c r="AQ120" s="1"/>
      <c r="AR120" s="1"/>
      <c r="AS120" s="1"/>
      <c r="AT120" s="1"/>
      <c r="AU120" s="1"/>
      <c r="AV120" s="1"/>
      <c r="AW120" s="1"/>
      <c r="AX120" s="1" t="s">
        <v>77</v>
      </c>
      <c r="AY120" s="17">
        <v>0</v>
      </c>
      <c r="BB120" s="1"/>
      <c r="BC120" s="1"/>
      <c r="BD120" s="1"/>
      <c r="BE120" s="1"/>
      <c r="BF120" s="1"/>
      <c r="BG120" s="1"/>
      <c r="BH120" s="1" t="s">
        <v>77</v>
      </c>
      <c r="BI120" s="17">
        <v>0</v>
      </c>
      <c r="BK120" s="1"/>
      <c r="BL120" s="1"/>
      <c r="BM120" s="1"/>
      <c r="BN120" s="1"/>
      <c r="BO120" s="1"/>
      <c r="BP120" s="1"/>
      <c r="BQ120" s="1"/>
      <c r="BR120" s="1" t="s">
        <v>77</v>
      </c>
      <c r="BS120" s="17">
        <v>100</v>
      </c>
      <c r="BV120" s="1"/>
      <c r="BW120" s="1"/>
      <c r="BX120" s="1"/>
      <c r="BY120" s="1"/>
      <c r="BZ120" s="1"/>
      <c r="CA120" s="1"/>
      <c r="CB120" s="1" t="s">
        <v>77</v>
      </c>
      <c r="CC120" s="17">
        <v>100</v>
      </c>
      <c r="CP120" s="1"/>
      <c r="CQ120" s="1"/>
      <c r="CR120" s="1"/>
      <c r="CS120" s="1"/>
      <c r="CT120" s="1"/>
      <c r="CU120" s="1"/>
      <c r="CV120" s="1"/>
      <c r="CW120" s="6"/>
    </row>
    <row r="121" spans="1:101" ht="14.65" customHeight="1" x14ac:dyDescent="0.25">
      <c r="A121" s="1"/>
      <c r="B121" s="1"/>
      <c r="C121" s="1"/>
      <c r="D121" s="1"/>
      <c r="E121" s="1"/>
      <c r="F121" s="1" t="s">
        <v>79</v>
      </c>
      <c r="G121" s="1"/>
      <c r="H121" s="53"/>
      <c r="I121" s="35"/>
      <c r="J121" s="35"/>
      <c r="K121" s="35"/>
      <c r="L121" s="102"/>
      <c r="M121" s="101"/>
      <c r="N121" s="102"/>
      <c r="O121" s="103"/>
      <c r="P121" s="102"/>
      <c r="Q121" s="102"/>
      <c r="R121" s="103"/>
      <c r="T121" s="1"/>
      <c r="U121" s="2"/>
      <c r="W121" s="1"/>
      <c r="X121" s="1"/>
      <c r="Y121" s="1"/>
      <c r="Z121" s="1"/>
      <c r="AA121" s="1"/>
      <c r="AB121" s="1"/>
      <c r="AC121" s="1" t="s">
        <v>78</v>
      </c>
      <c r="AD121" s="1"/>
      <c r="AE121" s="2">
        <f>ROUND(SUM(AE113:AE120),5)</f>
        <v>2740.24</v>
      </c>
      <c r="AH121" s="1"/>
      <c r="AI121" s="1"/>
      <c r="AJ121" s="1"/>
      <c r="AK121" s="1"/>
      <c r="AL121" s="1"/>
      <c r="AM121" s="1" t="s">
        <v>78</v>
      </c>
      <c r="AN121" s="1"/>
      <c r="AO121" s="2">
        <f>ROUND(SUM(AO113:AO120),5)</f>
        <v>177.12</v>
      </c>
      <c r="AQ121" s="1"/>
      <c r="AR121" s="1"/>
      <c r="AS121" s="1"/>
      <c r="AT121" s="1"/>
      <c r="AU121" s="1"/>
      <c r="AV121" s="1"/>
      <c r="AW121" s="1" t="s">
        <v>78</v>
      </c>
      <c r="AX121" s="1"/>
      <c r="AY121" s="2">
        <f>ROUND(SUM(AY113:AY120),5)</f>
        <v>339.75</v>
      </c>
      <c r="BB121" s="1"/>
      <c r="BC121" s="1"/>
      <c r="BD121" s="1"/>
      <c r="BE121" s="1"/>
      <c r="BF121" s="1"/>
      <c r="BG121" s="1" t="s">
        <v>78</v>
      </c>
      <c r="BH121" s="1"/>
      <c r="BI121" s="2">
        <f>ROUND(SUM(BI113:BI120),5)</f>
        <v>393.71</v>
      </c>
      <c r="BK121" s="1"/>
      <c r="BL121" s="1"/>
      <c r="BM121" s="1"/>
      <c r="BN121" s="1"/>
      <c r="BO121" s="1"/>
      <c r="BP121" s="1"/>
      <c r="BQ121" s="1" t="s">
        <v>78</v>
      </c>
      <c r="BR121" s="1"/>
      <c r="BS121" s="2">
        <f>ROUND(SUM(BS113:BS120),5)</f>
        <v>7000</v>
      </c>
      <c r="BV121" s="1"/>
      <c r="BW121" s="1"/>
      <c r="BX121" s="1"/>
      <c r="BY121" s="1"/>
      <c r="BZ121" s="1"/>
      <c r="CA121" s="1" t="s">
        <v>78</v>
      </c>
      <c r="CB121" s="1"/>
      <c r="CC121" s="2">
        <f>ROUND(SUM(CC113:CC120),5)</f>
        <v>7000</v>
      </c>
      <c r="CP121" s="1"/>
      <c r="CQ121" s="1"/>
      <c r="CR121" s="1"/>
      <c r="CS121" s="1"/>
      <c r="CT121" s="1"/>
      <c r="CU121" s="1"/>
      <c r="CV121" s="1"/>
      <c r="CW121" s="6"/>
    </row>
    <row r="122" spans="1:101" ht="14.65" customHeight="1" x14ac:dyDescent="0.25">
      <c r="A122" s="1"/>
      <c r="B122" s="1"/>
      <c r="C122" s="1"/>
      <c r="D122" s="1"/>
      <c r="E122" s="1"/>
      <c r="F122" s="1"/>
      <c r="G122" s="1" t="s">
        <v>119</v>
      </c>
      <c r="H122" s="137">
        <v>1995.44</v>
      </c>
      <c r="I122" s="198">
        <v>80</v>
      </c>
      <c r="J122" s="198">
        <v>80</v>
      </c>
      <c r="K122" s="198">
        <v>80</v>
      </c>
      <c r="L122" s="90">
        <f>SUM(H122:K122)</f>
        <v>2235.44</v>
      </c>
      <c r="M122" s="104">
        <v>3000</v>
      </c>
      <c r="N122" s="92">
        <v>3000</v>
      </c>
      <c r="O122" s="93">
        <v>2500</v>
      </c>
      <c r="P122" s="142">
        <f t="shared" ref="P122:P124" si="72">N122-L122</f>
        <v>764.56</v>
      </c>
      <c r="Q122" s="131">
        <f>O122-L122</f>
        <v>264.55999999999995</v>
      </c>
      <c r="R122" s="132">
        <f>O122-N122</f>
        <v>-500</v>
      </c>
      <c r="T122" s="1"/>
      <c r="U122" s="2"/>
      <c r="W122" s="1"/>
      <c r="X122" s="1"/>
      <c r="Y122" s="1"/>
      <c r="Z122" s="1"/>
      <c r="AA122" s="1"/>
      <c r="AB122" s="1"/>
      <c r="AC122" s="1" t="s">
        <v>79</v>
      </c>
      <c r="AD122" s="1"/>
      <c r="AE122" s="2"/>
      <c r="AH122" s="1"/>
      <c r="AI122" s="1"/>
      <c r="AJ122" s="1"/>
      <c r="AK122" s="1"/>
      <c r="AL122" s="1"/>
      <c r="AM122" s="1" t="s">
        <v>79</v>
      </c>
      <c r="AN122" s="1"/>
      <c r="AO122" s="2"/>
      <c r="AQ122" s="1"/>
      <c r="AR122" s="1"/>
      <c r="AS122" s="1"/>
      <c r="AT122" s="1"/>
      <c r="AU122" s="1"/>
      <c r="AV122" s="1"/>
      <c r="AW122" s="1" t="s">
        <v>79</v>
      </c>
      <c r="AX122" s="1"/>
      <c r="AY122" s="2"/>
      <c r="BB122" s="1"/>
      <c r="BC122" s="1"/>
      <c r="BD122" s="1"/>
      <c r="BE122" s="1"/>
      <c r="BF122" s="1"/>
      <c r="BG122" s="1" t="s">
        <v>79</v>
      </c>
      <c r="BH122" s="1"/>
      <c r="BI122" s="2"/>
      <c r="BK122" s="1"/>
      <c r="BL122" s="1"/>
      <c r="BM122" s="1"/>
      <c r="BN122" s="1"/>
      <c r="BO122" s="1"/>
      <c r="BP122" s="1"/>
      <c r="BQ122" s="1" t="s">
        <v>79</v>
      </c>
      <c r="BR122" s="1"/>
      <c r="BS122" s="2"/>
      <c r="BV122" s="1"/>
      <c r="BW122" s="1"/>
      <c r="BX122" s="1"/>
      <c r="BY122" s="1"/>
      <c r="BZ122" s="1"/>
      <c r="CA122" s="1" t="s">
        <v>79</v>
      </c>
      <c r="CB122" s="1"/>
      <c r="CC122" s="2"/>
      <c r="CP122" s="1"/>
      <c r="CQ122" s="1"/>
      <c r="CR122" s="1"/>
      <c r="CS122" s="1"/>
      <c r="CT122" s="1"/>
      <c r="CU122" s="1"/>
      <c r="CV122" s="1"/>
      <c r="CW122" s="6"/>
    </row>
    <row r="123" spans="1:101" ht="14.65" customHeight="1" x14ac:dyDescent="0.25">
      <c r="A123" s="1"/>
      <c r="B123" s="1"/>
      <c r="C123" s="1"/>
      <c r="D123" s="1"/>
      <c r="E123" s="1"/>
      <c r="F123" s="1"/>
      <c r="G123" s="1" t="s">
        <v>80</v>
      </c>
      <c r="H123" s="137">
        <v>2134.94</v>
      </c>
      <c r="I123" s="198">
        <v>0</v>
      </c>
      <c r="J123" s="198">
        <v>0</v>
      </c>
      <c r="K123" s="198">
        <v>12.15</v>
      </c>
      <c r="L123" s="90">
        <f t="shared" ref="L123:L124" si="73">SUM(H123:K123)</f>
        <v>2147.09</v>
      </c>
      <c r="M123" s="104">
        <v>5000</v>
      </c>
      <c r="N123" s="92">
        <v>3000</v>
      </c>
      <c r="O123" s="93">
        <v>2000</v>
      </c>
      <c r="P123" s="142">
        <f t="shared" si="72"/>
        <v>852.90999999999985</v>
      </c>
      <c r="Q123" s="131">
        <f>O123-L123</f>
        <v>-147.09000000000015</v>
      </c>
      <c r="R123" s="132">
        <f>O123-N123</f>
        <v>-1000</v>
      </c>
      <c r="T123" s="32"/>
      <c r="U123" s="2"/>
      <c r="W123" s="1"/>
      <c r="X123" s="1"/>
      <c r="Y123" s="1"/>
      <c r="Z123" s="1"/>
      <c r="AA123" s="1"/>
      <c r="AB123" s="1"/>
      <c r="AC123" s="1"/>
      <c r="AD123" s="1" t="s">
        <v>119</v>
      </c>
      <c r="AE123" s="2">
        <v>1995.44</v>
      </c>
      <c r="AH123" s="1"/>
      <c r="AI123" s="1"/>
      <c r="AJ123" s="1"/>
      <c r="AK123" s="1"/>
      <c r="AL123" s="1"/>
      <c r="AM123" s="1"/>
      <c r="AN123" s="1" t="s">
        <v>119</v>
      </c>
      <c r="AO123" s="2">
        <v>80</v>
      </c>
      <c r="AQ123" s="1"/>
      <c r="AR123" s="1"/>
      <c r="AS123" s="1"/>
      <c r="AT123" s="1"/>
      <c r="AU123" s="1"/>
      <c r="AV123" s="1"/>
      <c r="AW123" s="1"/>
      <c r="AX123" s="1" t="s">
        <v>119</v>
      </c>
      <c r="AY123" s="2">
        <v>80</v>
      </c>
      <c r="BB123" s="1"/>
      <c r="BC123" s="1"/>
      <c r="BD123" s="1"/>
      <c r="BE123" s="1"/>
      <c r="BF123" s="1"/>
      <c r="BG123" s="1"/>
      <c r="BH123" s="1" t="s">
        <v>119</v>
      </c>
      <c r="BI123" s="2">
        <v>80</v>
      </c>
      <c r="BK123" s="1"/>
      <c r="BL123" s="1"/>
      <c r="BM123" s="1"/>
      <c r="BN123" s="1"/>
      <c r="BO123" s="1"/>
      <c r="BP123" s="1"/>
      <c r="BQ123" s="1"/>
      <c r="BR123" s="1" t="s">
        <v>119</v>
      </c>
      <c r="BS123" s="2">
        <v>3000</v>
      </c>
      <c r="BV123" s="1"/>
      <c r="BW123" s="1"/>
      <c r="BX123" s="1"/>
      <c r="BY123" s="1"/>
      <c r="BZ123" s="1"/>
      <c r="CA123" s="1"/>
      <c r="CB123" s="1" t="s">
        <v>119</v>
      </c>
      <c r="CC123" s="2">
        <v>3000</v>
      </c>
      <c r="CP123" s="1"/>
      <c r="CQ123" s="1"/>
      <c r="CR123" s="1"/>
      <c r="CS123" s="1"/>
      <c r="CT123" s="1"/>
      <c r="CU123" s="1"/>
      <c r="CV123" s="1"/>
      <c r="CW123" s="6"/>
    </row>
    <row r="124" spans="1:101" ht="14.65" customHeight="1" thickBot="1" x14ac:dyDescent="0.3">
      <c r="A124" s="1"/>
      <c r="B124" s="69"/>
      <c r="C124" s="69"/>
      <c r="D124" s="69"/>
      <c r="E124" s="69"/>
      <c r="F124" s="69"/>
      <c r="G124" s="70" t="s">
        <v>95</v>
      </c>
      <c r="H124" s="137">
        <v>0</v>
      </c>
      <c r="I124" s="198">
        <v>0</v>
      </c>
      <c r="J124" s="198">
        <v>0</v>
      </c>
      <c r="K124" s="198">
        <v>0</v>
      </c>
      <c r="L124" s="94">
        <f t="shared" si="73"/>
        <v>0</v>
      </c>
      <c r="M124" s="104">
        <v>250</v>
      </c>
      <c r="N124" s="92">
        <v>254</v>
      </c>
      <c r="O124" s="93">
        <v>152</v>
      </c>
      <c r="P124" s="142">
        <f t="shared" si="72"/>
        <v>254</v>
      </c>
      <c r="Q124" s="133">
        <f>O124-L124</f>
        <v>152</v>
      </c>
      <c r="R124" s="134">
        <f>O124-N124</f>
        <v>-102</v>
      </c>
      <c r="T124" s="1"/>
      <c r="U124" s="2"/>
      <c r="W124" s="1"/>
      <c r="X124" s="1"/>
      <c r="Y124" s="1"/>
      <c r="Z124" s="1"/>
      <c r="AA124" s="1"/>
      <c r="AB124" s="1"/>
      <c r="AC124" s="1"/>
      <c r="AD124" s="1" t="s">
        <v>80</v>
      </c>
      <c r="AE124" s="2">
        <v>2134.94</v>
      </c>
      <c r="AH124" s="1"/>
      <c r="AI124" s="1"/>
      <c r="AJ124" s="1"/>
      <c r="AK124" s="1"/>
      <c r="AL124" s="1"/>
      <c r="AM124" s="1"/>
      <c r="AN124" s="1" t="s">
        <v>80</v>
      </c>
      <c r="AO124" s="2">
        <v>600</v>
      </c>
      <c r="AQ124" s="1"/>
      <c r="AR124" s="1"/>
      <c r="AS124" s="1"/>
      <c r="AT124" s="1"/>
      <c r="AU124" s="1"/>
      <c r="AV124" s="1"/>
      <c r="AW124" s="1"/>
      <c r="AX124" s="1" t="s">
        <v>80</v>
      </c>
      <c r="AY124" s="2">
        <v>3621.84</v>
      </c>
      <c r="BB124" s="1"/>
      <c r="BC124" s="1"/>
      <c r="BD124" s="1"/>
      <c r="BE124" s="1"/>
      <c r="BF124" s="1"/>
      <c r="BG124" s="1"/>
      <c r="BH124" s="1" t="s">
        <v>80</v>
      </c>
      <c r="BI124" s="2">
        <v>12.15</v>
      </c>
      <c r="BK124" s="1"/>
      <c r="BL124" s="1"/>
      <c r="BM124" s="1"/>
      <c r="BN124" s="1"/>
      <c r="BO124" s="1"/>
      <c r="BP124" s="1"/>
      <c r="BQ124" s="1"/>
      <c r="BR124" s="1" t="s">
        <v>80</v>
      </c>
      <c r="BS124" s="2">
        <v>5000</v>
      </c>
      <c r="BV124" s="1"/>
      <c r="BW124" s="1"/>
      <c r="BX124" s="1"/>
      <c r="BY124" s="1"/>
      <c r="BZ124" s="1"/>
      <c r="CA124" s="1"/>
      <c r="CB124" s="1" t="s">
        <v>80</v>
      </c>
      <c r="CC124" s="2">
        <v>3000</v>
      </c>
      <c r="CP124" s="1"/>
      <c r="CQ124" s="1"/>
      <c r="CR124" s="1"/>
      <c r="CS124" s="1"/>
      <c r="CT124" s="1"/>
      <c r="CU124" s="1"/>
      <c r="CV124" s="1"/>
      <c r="CW124" s="6"/>
    </row>
    <row r="125" spans="1:101" ht="14.65" customHeight="1" thickBot="1" x14ac:dyDescent="0.3">
      <c r="A125" s="1"/>
      <c r="B125" s="71"/>
      <c r="C125" s="71"/>
      <c r="D125" s="71"/>
      <c r="E125" s="71"/>
      <c r="F125" s="71" t="s">
        <v>81</v>
      </c>
      <c r="G125" s="72"/>
      <c r="H125" s="55">
        <f>ROUND(SUM(H121:H124),5)</f>
        <v>4130.38</v>
      </c>
      <c r="I125" s="37">
        <f t="shared" ref="I125:R125" si="74">ROUND(SUM(I121:I124),5)</f>
        <v>80</v>
      </c>
      <c r="J125" s="37">
        <f t="shared" si="74"/>
        <v>80</v>
      </c>
      <c r="K125" s="37">
        <f t="shared" ref="K125" si="75">ROUND(SUM(K121:K124),5)</f>
        <v>92.15</v>
      </c>
      <c r="L125" s="112">
        <f>ROUND(SUM(L121:L124),5)</f>
        <v>4382.53</v>
      </c>
      <c r="M125" s="111">
        <f t="shared" si="74"/>
        <v>8250</v>
      </c>
      <c r="N125" s="112">
        <f t="shared" si="74"/>
        <v>6254</v>
      </c>
      <c r="O125" s="113">
        <f t="shared" si="74"/>
        <v>4652</v>
      </c>
      <c r="P125" s="112">
        <f t="shared" ref="P125" si="76">ROUND(SUM(P121:P124),5)</f>
        <v>1871.47</v>
      </c>
      <c r="Q125" s="112">
        <f t="shared" si="74"/>
        <v>269.47000000000003</v>
      </c>
      <c r="R125" s="113">
        <f t="shared" si="74"/>
        <v>-1602</v>
      </c>
      <c r="T125" s="1"/>
      <c r="U125" s="2"/>
      <c r="W125" s="1"/>
      <c r="X125" s="1"/>
      <c r="Y125" s="1"/>
      <c r="Z125" s="1"/>
      <c r="AA125" s="1"/>
      <c r="AB125" s="1"/>
      <c r="AC125" s="1"/>
      <c r="AD125" s="1" t="s">
        <v>95</v>
      </c>
      <c r="AE125" s="2">
        <v>0</v>
      </c>
      <c r="AH125" s="1"/>
      <c r="AI125" s="1"/>
      <c r="AJ125" s="1"/>
      <c r="AK125" s="1"/>
      <c r="AL125" s="1"/>
      <c r="AM125" s="1"/>
      <c r="AN125" s="1" t="s">
        <v>95</v>
      </c>
      <c r="AO125" s="2">
        <v>0</v>
      </c>
      <c r="AQ125" s="1"/>
      <c r="AR125" s="1"/>
      <c r="AS125" s="1"/>
      <c r="AT125" s="1"/>
      <c r="AU125" s="1"/>
      <c r="AV125" s="1"/>
      <c r="AW125" s="1"/>
      <c r="AX125" s="1" t="s">
        <v>95</v>
      </c>
      <c r="AY125" s="2">
        <v>148.99</v>
      </c>
      <c r="BB125" s="1"/>
      <c r="BC125" s="1"/>
      <c r="BD125" s="1"/>
      <c r="BE125" s="1"/>
      <c r="BF125" s="1"/>
      <c r="BG125" s="1"/>
      <c r="BH125" s="1" t="s">
        <v>95</v>
      </c>
      <c r="BI125" s="2">
        <v>107.48</v>
      </c>
      <c r="BK125" s="1"/>
      <c r="BL125" s="1"/>
      <c r="BM125" s="1"/>
      <c r="BN125" s="1"/>
      <c r="BO125" s="1"/>
      <c r="BP125" s="1"/>
      <c r="BQ125" s="1"/>
      <c r="BR125" s="1" t="s">
        <v>95</v>
      </c>
      <c r="BS125" s="2">
        <v>250</v>
      </c>
      <c r="BV125" s="1"/>
      <c r="BW125" s="1"/>
      <c r="BX125" s="1"/>
      <c r="BY125" s="1"/>
      <c r="BZ125" s="1"/>
      <c r="CA125" s="1"/>
      <c r="CB125" s="1" t="s">
        <v>95</v>
      </c>
      <c r="CC125" s="2">
        <v>254</v>
      </c>
      <c r="CP125" s="1"/>
      <c r="CQ125" s="1"/>
      <c r="CR125" s="1"/>
      <c r="CS125" s="1"/>
      <c r="CT125" s="1"/>
      <c r="CU125" s="1"/>
      <c r="CV125" s="1"/>
      <c r="CW125" s="6"/>
    </row>
    <row r="126" spans="1:101" ht="14.65" customHeight="1" thickBot="1" x14ac:dyDescent="0.3">
      <c r="A126" s="1"/>
      <c r="B126" s="75"/>
      <c r="C126" s="75"/>
      <c r="D126" s="75"/>
      <c r="E126" s="75" t="s">
        <v>82</v>
      </c>
      <c r="F126" s="75"/>
      <c r="G126" s="76"/>
      <c r="H126" s="57">
        <f t="shared" ref="H126:R126" si="77">ROUND(H68+H71+H74+H80+H88+H100+H111+H120+H125,5)</f>
        <v>105597.86</v>
      </c>
      <c r="I126" s="39">
        <f t="shared" si="77"/>
        <v>7508.42</v>
      </c>
      <c r="J126" s="39">
        <f t="shared" si="77"/>
        <v>10115.65</v>
      </c>
      <c r="K126" s="39">
        <f t="shared" si="77"/>
        <v>11301.55</v>
      </c>
      <c r="L126" s="119">
        <f t="shared" si="77"/>
        <v>134523.48000000001</v>
      </c>
      <c r="M126" s="118">
        <f t="shared" si="77"/>
        <v>155303</v>
      </c>
      <c r="N126" s="119">
        <f t="shared" si="77"/>
        <v>150202</v>
      </c>
      <c r="O126" s="120">
        <f t="shared" si="77"/>
        <v>144000</v>
      </c>
      <c r="P126" s="119">
        <f t="shared" si="77"/>
        <v>15678.52</v>
      </c>
      <c r="Q126" s="115">
        <f t="shared" si="77"/>
        <v>9476.52</v>
      </c>
      <c r="R126" s="116">
        <f t="shared" si="77"/>
        <v>-6202</v>
      </c>
      <c r="T126" s="1"/>
      <c r="U126" s="2"/>
      <c r="W126" s="1"/>
      <c r="X126" s="1"/>
      <c r="Y126" s="1"/>
      <c r="Z126" s="1"/>
      <c r="AA126" s="1"/>
      <c r="AB126" s="1"/>
      <c r="AC126" s="1" t="s">
        <v>81</v>
      </c>
      <c r="AD126" s="1"/>
      <c r="AE126" s="20">
        <f>ROUND(SUM(AE122:AE125),5)</f>
        <v>4130.38</v>
      </c>
      <c r="AH126" s="1"/>
      <c r="AI126" s="1"/>
      <c r="AJ126" s="1"/>
      <c r="AK126" s="1"/>
      <c r="AL126" s="1"/>
      <c r="AM126" s="1" t="s">
        <v>81</v>
      </c>
      <c r="AN126" s="1"/>
      <c r="AO126" s="21">
        <f>ROUND(SUM(AO122:AO125),5)</f>
        <v>680</v>
      </c>
      <c r="AQ126" s="1"/>
      <c r="AR126" s="1"/>
      <c r="AS126" s="1"/>
      <c r="AT126" s="1"/>
      <c r="AU126" s="1"/>
      <c r="AV126" s="1"/>
      <c r="AW126" s="1" t="s">
        <v>81</v>
      </c>
      <c r="AX126" s="1"/>
      <c r="AY126" s="21">
        <f>ROUND(SUM(AY122:AY125),5)</f>
        <v>3850.83</v>
      </c>
      <c r="BB126" s="1"/>
      <c r="BC126" s="1"/>
      <c r="BD126" s="1"/>
      <c r="BE126" s="1"/>
      <c r="BF126" s="1"/>
      <c r="BG126" s="1" t="s">
        <v>81</v>
      </c>
      <c r="BH126" s="1"/>
      <c r="BI126" s="21">
        <f>ROUND(SUM(BI122:BI125),5)</f>
        <v>199.63</v>
      </c>
      <c r="BK126" s="1"/>
      <c r="BL126" s="1"/>
      <c r="BM126" s="1"/>
      <c r="BN126" s="1"/>
      <c r="BO126" s="1"/>
      <c r="BP126" s="1"/>
      <c r="BQ126" s="1" t="s">
        <v>81</v>
      </c>
      <c r="BR126" s="1"/>
      <c r="BS126" s="21">
        <f>ROUND(SUM(BS122:BS125),5)</f>
        <v>8250</v>
      </c>
      <c r="BV126" s="1"/>
      <c r="BW126" s="1"/>
      <c r="BX126" s="1"/>
      <c r="BY126" s="1"/>
      <c r="BZ126" s="1"/>
      <c r="CA126" s="1" t="s">
        <v>81</v>
      </c>
      <c r="CB126" s="1"/>
      <c r="CC126" s="20">
        <f>ROUND(SUM(CC122:CC125),5)</f>
        <v>6254</v>
      </c>
      <c r="CP126" s="1"/>
      <c r="CQ126" s="1"/>
      <c r="CR126" s="1"/>
      <c r="CS126" s="1"/>
      <c r="CT126" s="1"/>
      <c r="CU126" s="1"/>
      <c r="CV126" s="1"/>
      <c r="CW126" s="6"/>
    </row>
    <row r="127" spans="1:101" ht="14.65" customHeight="1" thickBot="1" x14ac:dyDescent="0.3">
      <c r="A127" s="1"/>
      <c r="B127" s="77"/>
      <c r="C127" s="77"/>
      <c r="D127" s="77"/>
      <c r="E127" s="77" t="s">
        <v>87</v>
      </c>
      <c r="F127" s="77"/>
      <c r="G127" s="78"/>
      <c r="H127" s="58">
        <v>0</v>
      </c>
      <c r="I127" s="40">
        <v>0</v>
      </c>
      <c r="J127" s="40">
        <v>0</v>
      </c>
      <c r="K127" s="40">
        <v>0</v>
      </c>
      <c r="L127" s="122">
        <v>0</v>
      </c>
      <c r="M127" s="121">
        <v>19000</v>
      </c>
      <c r="N127" s="122"/>
      <c r="O127" s="123">
        <v>0</v>
      </c>
      <c r="P127" s="203">
        <v>0</v>
      </c>
      <c r="Q127" s="135">
        <v>0</v>
      </c>
      <c r="R127" s="136">
        <v>0</v>
      </c>
      <c r="T127" s="5"/>
      <c r="U127" s="9"/>
      <c r="W127" s="1"/>
      <c r="X127" s="1"/>
      <c r="Y127" s="1"/>
      <c r="Z127" s="1"/>
      <c r="AA127" s="1"/>
      <c r="AB127" s="1" t="s">
        <v>82</v>
      </c>
      <c r="AC127" s="1"/>
      <c r="AD127" s="1"/>
      <c r="AE127" s="20">
        <f>ROUND(AE69+AE72+AE75+AE81+AE89+AE101+AE112+AE121+AE126,5)</f>
        <v>105597.86</v>
      </c>
      <c r="AH127" s="1"/>
      <c r="AI127" s="1"/>
      <c r="AJ127" s="1"/>
      <c r="AK127" s="1"/>
      <c r="AL127" s="1" t="s">
        <v>82</v>
      </c>
      <c r="AM127" s="1"/>
      <c r="AN127" s="1"/>
      <c r="AO127" s="2">
        <f>ROUND(AO69+AO72+AO75+AO81+AO89+AO101+AO112+AO121+AO126,5)</f>
        <v>8108.42</v>
      </c>
      <c r="AQ127" s="1"/>
      <c r="AR127" s="1"/>
      <c r="AS127" s="1"/>
      <c r="AT127" s="1"/>
      <c r="AU127" s="1"/>
      <c r="AV127" s="1" t="s">
        <v>82</v>
      </c>
      <c r="AW127" s="1"/>
      <c r="AX127" s="1"/>
      <c r="AY127" s="2">
        <f>ROUND(AY69+AY72+AY75+AY81+AY89+AY101+AY112+AY121+AY126,5)</f>
        <v>11466.48</v>
      </c>
      <c r="BB127" s="1"/>
      <c r="BC127" s="1"/>
      <c r="BD127" s="1"/>
      <c r="BE127" s="1"/>
      <c r="BF127" s="1" t="s">
        <v>82</v>
      </c>
      <c r="BG127" s="1"/>
      <c r="BH127" s="1"/>
      <c r="BI127" s="2">
        <f>ROUND(BI69+BI72+BI75+BI81+BI89+BI101+BI112+BI121+BI126,5)</f>
        <v>15831.03</v>
      </c>
      <c r="BK127" s="1"/>
      <c r="BL127" s="1"/>
      <c r="BM127" s="1"/>
      <c r="BN127" s="1"/>
      <c r="BO127" s="1"/>
      <c r="BP127" s="1" t="s">
        <v>82</v>
      </c>
      <c r="BQ127" s="1"/>
      <c r="BR127" s="1"/>
      <c r="BS127" s="2">
        <f>ROUND(BS69+BS72+BS75+BS81+BS89+BS101+BS112+BS121+BS126,5)</f>
        <v>155303</v>
      </c>
      <c r="BV127" s="1"/>
      <c r="BW127" s="1"/>
      <c r="BX127" s="1"/>
      <c r="BY127" s="1"/>
      <c r="BZ127" s="1" t="s">
        <v>82</v>
      </c>
      <c r="CA127" s="1"/>
      <c r="CB127" s="1"/>
      <c r="CC127" s="20">
        <f>ROUND(CC69+CC72+CC75+CC81+CC89+CC101+CC112+CC121+CC126,5)</f>
        <v>150202</v>
      </c>
      <c r="CP127" s="1"/>
      <c r="CQ127" s="1"/>
      <c r="CR127" s="1"/>
      <c r="CS127" s="1"/>
      <c r="CT127" s="1"/>
      <c r="CU127" s="1"/>
      <c r="CV127" s="1"/>
      <c r="CW127" s="6"/>
    </row>
    <row r="128" spans="1:101" ht="14.65" customHeight="1" thickBot="1" x14ac:dyDescent="0.3">
      <c r="A128" s="1"/>
      <c r="B128" s="79"/>
      <c r="C128" s="79"/>
      <c r="D128" s="79" t="s">
        <v>83</v>
      </c>
      <c r="E128" s="79"/>
      <c r="F128" s="79"/>
      <c r="G128" s="80"/>
      <c r="H128" s="59">
        <f t="shared" ref="H128:R128" si="78">H67+H126+H127</f>
        <v>422981.55</v>
      </c>
      <c r="I128" s="41">
        <f t="shared" si="78"/>
        <v>46820.75</v>
      </c>
      <c r="J128" s="41">
        <f t="shared" si="78"/>
        <v>63788.47</v>
      </c>
      <c r="K128" s="41">
        <f t="shared" si="78"/>
        <v>56491.14</v>
      </c>
      <c r="L128" s="125">
        <f t="shared" si="78"/>
        <v>590081.91</v>
      </c>
      <c r="M128" s="124">
        <f t="shared" si="78"/>
        <v>761000</v>
      </c>
      <c r="N128" s="125">
        <f t="shared" si="78"/>
        <v>722000</v>
      </c>
      <c r="O128" s="126">
        <f t="shared" si="78"/>
        <v>717000</v>
      </c>
      <c r="P128" s="125">
        <f>P67+P126+P127</f>
        <v>131918.09</v>
      </c>
      <c r="Q128" s="125">
        <f t="shared" si="78"/>
        <v>182565.38999999998</v>
      </c>
      <c r="R128" s="126">
        <f t="shared" si="78"/>
        <v>-5000</v>
      </c>
      <c r="T128" s="5"/>
      <c r="W128" s="1"/>
      <c r="X128" s="1"/>
      <c r="Y128" s="1"/>
      <c r="Z128" s="1"/>
      <c r="AA128" s="1" t="s">
        <v>83</v>
      </c>
      <c r="AB128" s="1"/>
      <c r="AC128" s="1"/>
      <c r="AD128" s="1"/>
      <c r="AE128" s="20">
        <f>ROUND(AE18+AE68+AE127,5)</f>
        <v>383760.88</v>
      </c>
      <c r="AH128" s="1"/>
      <c r="AI128" s="1"/>
      <c r="AJ128" s="1"/>
      <c r="AK128" s="1"/>
      <c r="AL128" s="1" t="s">
        <v>87</v>
      </c>
      <c r="AM128" s="1"/>
      <c r="AN128" s="1"/>
      <c r="AO128" s="2">
        <v>0</v>
      </c>
      <c r="AQ128" s="1"/>
      <c r="AR128" s="1"/>
      <c r="AS128" s="1"/>
      <c r="AT128" s="1"/>
      <c r="AU128" s="1"/>
      <c r="AV128" s="1" t="s">
        <v>87</v>
      </c>
      <c r="AW128" s="1"/>
      <c r="AX128" s="1"/>
      <c r="AY128" s="2">
        <v>0</v>
      </c>
      <c r="BB128" s="1"/>
      <c r="BC128" s="1"/>
      <c r="BD128" s="1"/>
      <c r="BE128" s="1"/>
      <c r="BF128" s="1" t="s">
        <v>87</v>
      </c>
      <c r="BG128" s="1"/>
      <c r="BH128" s="1"/>
      <c r="BI128" s="2">
        <v>0</v>
      </c>
      <c r="BK128" s="1"/>
      <c r="BL128" s="1"/>
      <c r="BM128" s="1"/>
      <c r="BN128" s="1"/>
      <c r="BO128" s="1"/>
      <c r="BP128" s="1" t="s">
        <v>87</v>
      </c>
      <c r="BQ128" s="1"/>
      <c r="BR128" s="1"/>
      <c r="BS128" s="2">
        <v>19000</v>
      </c>
      <c r="BV128" s="1"/>
      <c r="BW128" s="1"/>
      <c r="BX128" s="1"/>
      <c r="BY128" s="1" t="s">
        <v>83</v>
      </c>
      <c r="BZ128" s="1"/>
      <c r="CA128" s="1"/>
      <c r="CB128" s="1"/>
      <c r="CC128" s="20">
        <f>ROUND(CC18+CC68+CC127,5)</f>
        <v>722000</v>
      </c>
      <c r="CP128" s="1"/>
      <c r="CQ128" s="1"/>
      <c r="CR128" s="1"/>
      <c r="CS128" s="1"/>
      <c r="CT128" s="1"/>
      <c r="CU128" s="1"/>
      <c r="CV128" s="1"/>
      <c r="CW128" s="6"/>
    </row>
    <row r="129" spans="1:101" ht="16.149999999999999" customHeight="1" thickTop="1" thickBot="1" x14ac:dyDescent="0.3">
      <c r="A129" s="1"/>
      <c r="B129" s="8" t="s">
        <v>84</v>
      </c>
      <c r="C129" s="8"/>
      <c r="D129" s="8"/>
      <c r="E129" s="8"/>
      <c r="F129" s="8"/>
      <c r="G129" s="8"/>
      <c r="H129" s="60">
        <f t="shared" ref="H129:R129" si="79">H16-H128</f>
        <v>47484.98000000004</v>
      </c>
      <c r="I129" s="42">
        <f t="shared" si="79"/>
        <v>10067.540000000001</v>
      </c>
      <c r="J129" s="129">
        <f t="shared" si="79"/>
        <v>-11659.18</v>
      </c>
      <c r="K129" s="42">
        <f t="shared" si="79"/>
        <v>28260.619999999995</v>
      </c>
      <c r="L129" s="209">
        <f t="shared" si="79"/>
        <v>74153.959999999963</v>
      </c>
      <c r="M129" s="127">
        <f t="shared" si="79"/>
        <v>0</v>
      </c>
      <c r="N129" s="128">
        <f t="shared" si="79"/>
        <v>0</v>
      </c>
      <c r="O129" s="210">
        <f t="shared" si="79"/>
        <v>-31000</v>
      </c>
      <c r="P129" s="128">
        <f t="shared" si="79"/>
        <v>-74153.959999999992</v>
      </c>
      <c r="Q129" s="128">
        <f t="shared" si="79"/>
        <v>-160801.25999999998</v>
      </c>
      <c r="R129" s="210">
        <f t="shared" si="79"/>
        <v>-31000</v>
      </c>
      <c r="T129" s="1" t="s">
        <v>257</v>
      </c>
      <c r="W129" s="1"/>
      <c r="X129" s="1"/>
      <c r="Y129" s="1" t="s">
        <v>84</v>
      </c>
      <c r="Z129" s="1"/>
      <c r="AA129" s="1"/>
      <c r="AB129" s="1"/>
      <c r="AC129" s="1"/>
      <c r="AD129" s="1"/>
      <c r="AE129" s="20">
        <f>ROUND(AE7+AE17-AE128,5)</f>
        <v>86705.65</v>
      </c>
      <c r="AH129" s="1"/>
      <c r="AI129" s="1"/>
      <c r="AJ129" s="1"/>
      <c r="AK129" s="1" t="s">
        <v>83</v>
      </c>
      <c r="AL129" s="1"/>
      <c r="AM129" s="1"/>
      <c r="AN129" s="1"/>
      <c r="AO129" s="20">
        <f>ROUND(AO18+AO68+SUM(AO127:AO128),5)</f>
        <v>34646.629999999997</v>
      </c>
      <c r="AQ129" s="1"/>
      <c r="AR129" s="1"/>
      <c r="AS129" s="1"/>
      <c r="AT129" s="1"/>
      <c r="AU129" s="1" t="s">
        <v>83</v>
      </c>
      <c r="AV129" s="1"/>
      <c r="AW129" s="1"/>
      <c r="AX129" s="1"/>
      <c r="AY129" s="20">
        <f>ROUND(AY18+AY68+SUM(AY127:AY128),5)</f>
        <v>57156.97</v>
      </c>
      <c r="BB129" s="1"/>
      <c r="BC129" s="1"/>
      <c r="BD129" s="1"/>
      <c r="BE129" s="1" t="s">
        <v>83</v>
      </c>
      <c r="BF129" s="1"/>
      <c r="BG129" s="1"/>
      <c r="BH129" s="1"/>
      <c r="BI129" s="20">
        <f>ROUND(BI18+BI68+SUM(BI127:BI128),5)</f>
        <v>51467.87</v>
      </c>
      <c r="BK129" s="1"/>
      <c r="BL129" s="1"/>
      <c r="BM129" s="1"/>
      <c r="BN129" s="1"/>
      <c r="BO129" s="1" t="s">
        <v>83</v>
      </c>
      <c r="BP129" s="1"/>
      <c r="BQ129" s="1"/>
      <c r="BR129" s="1"/>
      <c r="BS129" s="20">
        <f>ROUND(BS18+BS68+SUM(BS127:BS128),5)</f>
        <v>761000</v>
      </c>
      <c r="BV129" s="1"/>
      <c r="BW129" s="1" t="s">
        <v>84</v>
      </c>
      <c r="BX129" s="1"/>
      <c r="BY129" s="1"/>
      <c r="BZ129" s="1"/>
      <c r="CA129" s="1"/>
      <c r="CB129" s="1"/>
      <c r="CC129" s="20">
        <f>ROUND(CC7+CC17-CC128,5)</f>
        <v>0</v>
      </c>
      <c r="CP129" s="1"/>
      <c r="CQ129" s="1"/>
      <c r="CR129" s="1"/>
      <c r="CS129" s="1"/>
      <c r="CT129" s="1"/>
      <c r="CU129" s="1"/>
      <c r="CV129" s="1"/>
      <c r="CW129" s="6"/>
    </row>
    <row r="130" spans="1:101" ht="14.65" customHeight="1" thickBot="1" x14ac:dyDescent="0.3">
      <c r="H130" s="139"/>
      <c r="I130" s="139"/>
      <c r="J130" s="139"/>
      <c r="K130" s="139"/>
      <c r="L130" s="130"/>
      <c r="M130" s="130"/>
      <c r="N130" s="130"/>
      <c r="O130" s="130"/>
      <c r="P130" s="130"/>
      <c r="Q130" s="130"/>
      <c r="R130" s="130"/>
      <c r="T130" t="s">
        <v>259</v>
      </c>
      <c r="W130" s="5"/>
      <c r="X130" s="1" t="s">
        <v>118</v>
      </c>
      <c r="Y130" s="1"/>
      <c r="Z130" s="1"/>
      <c r="AA130" s="1"/>
      <c r="AB130" s="1"/>
      <c r="AC130" s="1"/>
      <c r="AD130" s="1"/>
      <c r="AE130" s="22">
        <f>AE129</f>
        <v>86705.65</v>
      </c>
      <c r="AH130" s="1"/>
      <c r="AI130" s="1" t="s">
        <v>84</v>
      </c>
      <c r="AJ130" s="1"/>
      <c r="AK130" s="1"/>
      <c r="AL130" s="1"/>
      <c r="AM130" s="1"/>
      <c r="AN130" s="1"/>
      <c r="AO130" s="20">
        <f>ROUND(AO7+AO17-AO129,5)</f>
        <v>18541.66</v>
      </c>
      <c r="AQ130" s="1"/>
      <c r="AR130" s="1"/>
      <c r="AS130" s="1" t="s">
        <v>84</v>
      </c>
      <c r="AT130" s="1"/>
      <c r="AU130" s="1"/>
      <c r="AV130" s="1"/>
      <c r="AW130" s="1"/>
      <c r="AX130" s="1"/>
      <c r="AY130" s="20">
        <f>ROUND(AY7+AY17-AY129,5)</f>
        <v>-4727.68</v>
      </c>
      <c r="BB130" s="1"/>
      <c r="BC130" s="1" t="s">
        <v>84</v>
      </c>
      <c r="BD130" s="1"/>
      <c r="BE130" s="1"/>
      <c r="BF130" s="1"/>
      <c r="BG130" s="1"/>
      <c r="BH130" s="1"/>
      <c r="BI130" s="20">
        <f>ROUND(BI7+BI17-BI129,5)</f>
        <v>33083.89</v>
      </c>
      <c r="BK130" s="1"/>
      <c r="BL130" s="1"/>
      <c r="BM130" s="1" t="s">
        <v>84</v>
      </c>
      <c r="BN130" s="1"/>
      <c r="BO130" s="1"/>
      <c r="BP130" s="1"/>
      <c r="BQ130" s="1"/>
      <c r="BR130" s="1"/>
      <c r="BS130" s="20">
        <f>ROUND(BS7+BS17-BS129,5)</f>
        <v>0</v>
      </c>
      <c r="BV130" s="1" t="s">
        <v>118</v>
      </c>
      <c r="BW130" s="1"/>
      <c r="BX130" s="1"/>
      <c r="BY130" s="1"/>
      <c r="BZ130" s="1"/>
      <c r="CA130" s="1"/>
      <c r="CB130" s="1"/>
      <c r="CC130" s="22">
        <f>CC129</f>
        <v>0</v>
      </c>
      <c r="CP130" s="1"/>
      <c r="CQ130" s="1"/>
      <c r="CR130" s="1"/>
      <c r="CS130" s="1"/>
      <c r="CT130" s="1"/>
      <c r="CU130" s="1"/>
      <c r="CV130" s="1"/>
      <c r="CW130" s="6"/>
    </row>
    <row r="131" spans="1:101" ht="14.65" customHeight="1" thickTop="1" thickBot="1" x14ac:dyDescent="0.3">
      <c r="H131" s="140"/>
      <c r="I131" s="140"/>
      <c r="J131" s="140"/>
      <c r="K131" s="140"/>
      <c r="L131" s="140"/>
      <c r="M131" s="140"/>
      <c r="N131" s="140"/>
      <c r="O131" s="140"/>
      <c r="P131" s="141"/>
      <c r="Q131" s="141"/>
      <c r="R131" s="141"/>
      <c r="T131" t="s">
        <v>258</v>
      </c>
      <c r="W131" s="5"/>
      <c r="X131" s="1"/>
      <c r="Y131" s="1"/>
      <c r="Z131" s="1"/>
      <c r="AA131" s="1"/>
      <c r="AB131" s="1"/>
      <c r="AC131" s="1"/>
      <c r="AD131" s="1"/>
      <c r="AE131" s="9"/>
      <c r="AH131" s="1" t="s">
        <v>118</v>
      </c>
      <c r="AI131" s="1"/>
      <c r="AJ131" s="1"/>
      <c r="AK131" s="1"/>
      <c r="AL131" s="1"/>
      <c r="AM131" s="1"/>
      <c r="AN131" s="1"/>
      <c r="AO131" s="22">
        <f>AO130</f>
        <v>18541.66</v>
      </c>
      <c r="AR131" s="1" t="s">
        <v>118</v>
      </c>
      <c r="AS131" s="1"/>
      <c r="AT131" s="1"/>
      <c r="AU131" s="1"/>
      <c r="AV131" s="1"/>
      <c r="AW131" s="1"/>
      <c r="AX131" s="1"/>
      <c r="AY131" s="22">
        <f>AY130</f>
        <v>-4727.68</v>
      </c>
      <c r="BB131" s="1" t="s">
        <v>118</v>
      </c>
      <c r="BC131" s="1"/>
      <c r="BD131" s="1"/>
      <c r="BE131" s="1"/>
      <c r="BF131" s="1"/>
      <c r="BG131" s="1"/>
      <c r="BH131" s="1"/>
      <c r="BI131" s="22">
        <f>BI130</f>
        <v>33083.89</v>
      </c>
      <c r="BL131" s="1" t="s">
        <v>118</v>
      </c>
      <c r="BM131" s="1"/>
      <c r="BN131" s="1"/>
      <c r="BO131" s="1"/>
      <c r="BP131" s="1"/>
      <c r="BQ131" s="1"/>
      <c r="BR131" s="1"/>
      <c r="BS131" s="22">
        <f>BS130</f>
        <v>0</v>
      </c>
      <c r="BV131" s="1"/>
      <c r="BW131" s="1"/>
      <c r="BX131" s="1"/>
      <c r="BY131" s="1"/>
      <c r="BZ131" s="1"/>
      <c r="CA131" s="1"/>
      <c r="CB131" s="1"/>
      <c r="CC131" s="9"/>
      <c r="CP131" s="1"/>
      <c r="CQ131" s="1"/>
      <c r="CR131" s="1"/>
      <c r="CS131" s="1"/>
      <c r="CT131" s="1"/>
      <c r="CU131" s="1"/>
      <c r="CV131" s="1"/>
      <c r="CW131" s="6"/>
    </row>
    <row r="132" spans="1:101" ht="14.65" customHeight="1" thickTop="1" x14ac:dyDescent="0.25">
      <c r="I132" s="88"/>
      <c r="J132" s="87"/>
      <c r="K132" s="88"/>
      <c r="L132" s="7"/>
      <c r="M132" s="89"/>
      <c r="N132" s="89"/>
      <c r="O132" s="89"/>
      <c r="P132" s="141"/>
      <c r="Q132" s="141"/>
      <c r="R132" s="141"/>
      <c r="T132" t="s">
        <v>260</v>
      </c>
      <c r="X132" s="5"/>
      <c r="Y132" s="5"/>
      <c r="Z132" s="5"/>
      <c r="AA132" s="5"/>
      <c r="AB132" s="5"/>
      <c r="AC132" s="5"/>
      <c r="AD132" s="5"/>
      <c r="CP132" s="1"/>
      <c r="CQ132" s="1"/>
      <c r="CR132" s="1"/>
      <c r="CS132" s="1"/>
      <c r="CT132" s="1"/>
      <c r="CU132" s="1"/>
      <c r="CV132" s="1"/>
      <c r="CW132" s="48"/>
    </row>
    <row r="133" spans="1:101" ht="14.65" customHeight="1" x14ac:dyDescent="0.25">
      <c r="I133" s="88"/>
      <c r="J133" s="87"/>
      <c r="K133" s="88"/>
      <c r="L133" s="7"/>
      <c r="M133" s="7"/>
      <c r="N133" s="7"/>
      <c r="P133" s="141"/>
      <c r="Q133" s="141"/>
      <c r="R133" s="141"/>
    </row>
    <row r="134" spans="1:101" ht="14.65" customHeight="1" x14ac:dyDescent="0.25">
      <c r="I134" s="88"/>
      <c r="J134" s="87"/>
      <c r="K134" s="88"/>
      <c r="L134" s="7"/>
      <c r="M134" s="7"/>
      <c r="N134" s="7"/>
      <c r="P134" s="141"/>
      <c r="Q134" s="141"/>
      <c r="R134" s="141"/>
    </row>
    <row r="135" spans="1:101" ht="14.65" customHeight="1" x14ac:dyDescent="0.25">
      <c r="I135" s="88"/>
      <c r="J135" s="87"/>
      <c r="K135" s="88"/>
      <c r="L135" s="7"/>
      <c r="M135" s="7"/>
      <c r="N135" s="7"/>
      <c r="P135" s="141"/>
      <c r="Q135" s="141"/>
      <c r="R135" s="141"/>
    </row>
    <row r="136" spans="1:101" ht="14.65" customHeight="1" x14ac:dyDescent="0.25">
      <c r="E136" s="13"/>
      <c r="G136" s="10"/>
      <c r="I136" s="88"/>
      <c r="J136" s="87"/>
      <c r="K136" s="88"/>
      <c r="Q136" s="89"/>
      <c r="R136" s="89"/>
    </row>
    <row r="137" spans="1:101" ht="14.65" customHeight="1" x14ac:dyDescent="0.25">
      <c r="I137" s="88"/>
      <c r="J137" s="87"/>
      <c r="K137" s="88"/>
      <c r="Q137" s="89"/>
      <c r="R137" s="89"/>
    </row>
    <row r="138" spans="1:101" ht="14.65" customHeight="1" x14ac:dyDescent="0.25">
      <c r="I138" s="88"/>
      <c r="J138" s="87"/>
      <c r="K138" s="88"/>
      <c r="Q138" s="89"/>
      <c r="R138" s="89"/>
    </row>
    <row r="139" spans="1:101" ht="14.65" customHeight="1" x14ac:dyDescent="0.25">
      <c r="I139" s="88"/>
      <c r="J139" s="87"/>
      <c r="K139" s="88"/>
      <c r="Q139" s="89"/>
      <c r="R139" s="89"/>
    </row>
    <row r="140" spans="1:101" ht="14.65" customHeight="1" x14ac:dyDescent="0.25">
      <c r="E140" s="15"/>
      <c r="I140" s="88"/>
      <c r="J140" s="87"/>
      <c r="K140" s="88"/>
      <c r="Q140" s="89"/>
      <c r="R140" s="89"/>
    </row>
    <row r="141" spans="1:101" ht="14.65" customHeight="1" x14ac:dyDescent="0.25">
      <c r="I141" s="88"/>
      <c r="J141" s="87"/>
      <c r="K141" s="88"/>
      <c r="Q141" s="89"/>
      <c r="R141" s="89"/>
    </row>
    <row r="142" spans="1:101" ht="14.65" customHeight="1" x14ac:dyDescent="0.25">
      <c r="G142" s="14"/>
      <c r="J142" s="87"/>
      <c r="K142" s="88"/>
      <c r="Q142" s="89"/>
      <c r="R142" s="89"/>
    </row>
    <row r="143" spans="1:101" ht="14.65" customHeight="1" x14ac:dyDescent="0.25">
      <c r="G143" s="14"/>
      <c r="J143" s="87"/>
      <c r="K143" s="88"/>
    </row>
    <row r="144" spans="1:101" ht="14.65" customHeight="1" x14ac:dyDescent="0.25">
      <c r="G144" s="14"/>
      <c r="J144" s="87"/>
      <c r="K144" s="88"/>
    </row>
    <row r="145" spans="6:11" ht="14.65" customHeight="1" x14ac:dyDescent="0.25">
      <c r="G145" s="14"/>
      <c r="J145" s="87"/>
      <c r="K145" s="88"/>
    </row>
    <row r="146" spans="6:11" ht="14.65" customHeight="1" x14ac:dyDescent="0.25">
      <c r="G146" s="14"/>
      <c r="J146" s="87"/>
    </row>
    <row r="147" spans="6:11" ht="14.65" customHeight="1" x14ac:dyDescent="0.25">
      <c r="G147" s="14"/>
      <c r="J147" s="87"/>
    </row>
    <row r="148" spans="6:11" ht="14.65" customHeight="1" x14ac:dyDescent="0.25">
      <c r="J148" s="87"/>
    </row>
    <row r="149" spans="6:11" ht="14.65" customHeight="1" x14ac:dyDescent="0.25">
      <c r="G149" s="14"/>
      <c r="J149" s="87"/>
    </row>
    <row r="155" spans="6:11" x14ac:dyDescent="0.25">
      <c r="F155" s="13"/>
    </row>
  </sheetData>
  <mergeCells count="3">
    <mergeCell ref="H2:L2"/>
    <mergeCell ref="M2:O2"/>
    <mergeCell ref="P2:R2"/>
  </mergeCells>
  <printOptions horizontalCentered="1"/>
  <pageMargins left="0.25" right="0.25" top="0.25" bottom="0.25" header="0" footer="0"/>
  <pageSetup scale="72" fitToHeight="0" orientation="landscape" r:id="rId1"/>
  <rowBreaks count="2" manualBreakCount="2">
    <brk id="46" max="16383" man="1"/>
    <brk id="8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DC9C1-09C4-4864-ADDD-36AB263AF7EA}">
  <sheetPr>
    <pageSetUpPr fitToPage="1"/>
  </sheetPr>
  <dimension ref="A1:V44"/>
  <sheetViews>
    <sheetView zoomScaleNormal="100" workbookViewId="0">
      <pane xSplit="1" ySplit="5" topLeftCell="B21" activePane="bottomRight" state="frozen"/>
      <selection pane="topRight" activeCell="B1" sqref="B1"/>
      <selection pane="bottomLeft" activeCell="A6" sqref="A6"/>
      <selection pane="bottomRight" activeCell="S29" sqref="S29"/>
    </sheetView>
  </sheetViews>
  <sheetFormatPr defaultColWidth="8.7109375" defaultRowHeight="15" x14ac:dyDescent="0.25"/>
  <cols>
    <col min="1" max="1" width="9.7109375" style="146" customWidth="1"/>
    <col min="2" max="2" width="23.5703125" customWidth="1"/>
    <col min="3" max="3" width="3.7109375" bestFit="1" customWidth="1"/>
    <col min="4" max="4" width="7.7109375" customWidth="1"/>
    <col min="5" max="5" width="6.28515625" customWidth="1"/>
    <col min="6" max="6" width="7.42578125" customWidth="1"/>
    <col min="7" max="7" width="8" customWidth="1"/>
    <col min="8" max="8" width="7.7109375" customWidth="1"/>
    <col min="9" max="10" width="6.7109375" customWidth="1"/>
    <col min="11" max="11" width="6.42578125" customWidth="1"/>
    <col min="12" max="12" width="8.7109375" customWidth="1"/>
    <col min="13" max="13" width="7.7109375" customWidth="1"/>
    <col min="14" max="15" width="5.7109375" customWidth="1"/>
    <col min="16" max="16" width="7.42578125" bestFit="1" customWidth="1"/>
    <col min="17" max="17" width="7.42578125" customWidth="1"/>
    <col min="18" max="18" width="7.7109375" customWidth="1"/>
    <col min="19" max="19" width="11.85546875" bestFit="1" customWidth="1"/>
    <col min="20" max="20" width="16.42578125" bestFit="1" customWidth="1"/>
  </cols>
  <sheetData>
    <row r="1" spans="1:17" ht="18.75" x14ac:dyDescent="0.3">
      <c r="A1" s="197" t="s">
        <v>196</v>
      </c>
      <c r="B1" s="190"/>
      <c r="C1" s="190"/>
      <c r="D1" s="190"/>
      <c r="E1" s="190"/>
      <c r="F1" s="190"/>
      <c r="G1" s="197" t="s">
        <v>241</v>
      </c>
      <c r="H1" s="197"/>
      <c r="I1" s="197"/>
      <c r="J1" s="197"/>
      <c r="K1" s="197"/>
      <c r="L1" s="190"/>
      <c r="M1" s="190"/>
      <c r="N1" s="190"/>
      <c r="O1" s="190"/>
      <c r="P1" s="190"/>
    </row>
    <row r="2" spans="1:17" x14ac:dyDescent="0.25">
      <c r="E2" s="4">
        <v>2026</v>
      </c>
      <c r="G2" s="196" t="s">
        <v>195</v>
      </c>
    </row>
    <row r="3" spans="1:17" x14ac:dyDescent="0.25">
      <c r="A3" s="4">
        <v>2026</v>
      </c>
      <c r="D3" s="4">
        <v>2025</v>
      </c>
      <c r="E3" s="195" t="s">
        <v>194</v>
      </c>
      <c r="F3" s="4">
        <v>2026</v>
      </c>
      <c r="G3" s="4">
        <v>2026</v>
      </c>
      <c r="H3" s="194">
        <v>0.03</v>
      </c>
      <c r="N3" t="s">
        <v>193</v>
      </c>
    </row>
    <row r="4" spans="1:17" x14ac:dyDescent="0.25">
      <c r="A4" s="146" t="s">
        <v>191</v>
      </c>
      <c r="D4" s="4" t="s">
        <v>192</v>
      </c>
      <c r="E4" s="194" t="s">
        <v>191</v>
      </c>
      <c r="F4" s="193" t="s">
        <v>248</v>
      </c>
      <c r="G4" s="4" t="s">
        <v>189</v>
      </c>
      <c r="H4" s="4" t="s">
        <v>188</v>
      </c>
      <c r="I4" s="4"/>
      <c r="J4" s="4"/>
      <c r="K4" s="4"/>
      <c r="L4" s="4"/>
      <c r="M4" s="4" t="s">
        <v>187</v>
      </c>
      <c r="N4" s="192" t="s">
        <v>186</v>
      </c>
      <c r="O4" s="4" t="s">
        <v>185</v>
      </c>
      <c r="P4" s="4"/>
    </row>
    <row r="5" spans="1:17" x14ac:dyDescent="0.25">
      <c r="A5" s="191" t="s">
        <v>184</v>
      </c>
      <c r="B5" s="187" t="s">
        <v>183</v>
      </c>
      <c r="C5" s="190"/>
      <c r="D5" s="187" t="s">
        <v>182</v>
      </c>
      <c r="E5" s="187" t="s">
        <v>181</v>
      </c>
      <c r="F5" s="189"/>
      <c r="G5" s="187"/>
      <c r="H5" s="187" t="s">
        <v>179</v>
      </c>
      <c r="I5" s="187" t="s">
        <v>178</v>
      </c>
      <c r="J5" s="187" t="s">
        <v>177</v>
      </c>
      <c r="K5" s="187" t="s">
        <v>176</v>
      </c>
      <c r="L5" s="187" t="s">
        <v>175</v>
      </c>
      <c r="M5" s="187" t="s">
        <v>174</v>
      </c>
      <c r="N5" s="188" t="s">
        <v>173</v>
      </c>
      <c r="O5" s="187" t="s">
        <v>172</v>
      </c>
      <c r="P5" s="187" t="s">
        <v>171</v>
      </c>
    </row>
    <row r="6" spans="1:17" s="140" customFormat="1" x14ac:dyDescent="0.25">
      <c r="B6" s="186" t="s">
        <v>170</v>
      </c>
    </row>
    <row r="7" spans="1:17" s="140" customFormat="1" x14ac:dyDescent="0.25">
      <c r="A7" s="146">
        <v>37.14</v>
      </c>
      <c r="B7" s="184" t="s">
        <v>245</v>
      </c>
      <c r="C7" s="171"/>
      <c r="D7" s="171">
        <v>75000</v>
      </c>
      <c r="E7" s="171">
        <f>D7*0.03</f>
        <v>2250</v>
      </c>
      <c r="F7" s="171"/>
      <c r="G7" s="171">
        <f>D7+E7+F7</f>
        <v>77250</v>
      </c>
      <c r="H7" s="171">
        <f>G7*0.03</f>
        <v>2317.5</v>
      </c>
      <c r="I7" s="171"/>
      <c r="J7" s="171">
        <f>(752*12)*1.1</f>
        <v>9926.4000000000015</v>
      </c>
      <c r="K7" s="171">
        <f>0*12</f>
        <v>0</v>
      </c>
      <c r="L7" s="171">
        <f>33*12*1.1</f>
        <v>435.6</v>
      </c>
      <c r="M7" s="171">
        <v>1500</v>
      </c>
      <c r="N7" s="171">
        <v>1200</v>
      </c>
      <c r="O7" s="171"/>
      <c r="P7" s="171">
        <f>SUM(G7:O7)</f>
        <v>92629.5</v>
      </c>
      <c r="Q7" s="171"/>
    </row>
    <row r="8" spans="1:17" s="140" customFormat="1" x14ac:dyDescent="0.25">
      <c r="A8" s="146">
        <v>24.36</v>
      </c>
      <c r="B8" s="184" t="s">
        <v>246</v>
      </c>
      <c r="C8" s="171"/>
      <c r="D8" s="171">
        <v>49192</v>
      </c>
      <c r="E8" s="171">
        <f>D8*0.03</f>
        <v>1475.76</v>
      </c>
      <c r="F8" s="171"/>
      <c r="G8" s="171">
        <f>D8+E8+F8</f>
        <v>50667.76</v>
      </c>
      <c r="H8" s="171">
        <f>G8*0.03</f>
        <v>1520.0328</v>
      </c>
      <c r="I8" s="171"/>
      <c r="J8" s="171">
        <f>752*12*1.1</f>
        <v>9926.4000000000015</v>
      </c>
      <c r="K8" s="171">
        <f>30*12</f>
        <v>360</v>
      </c>
      <c r="L8" s="171">
        <f>22*12*1.1</f>
        <v>290.40000000000003</v>
      </c>
      <c r="M8" s="171">
        <v>1500</v>
      </c>
      <c r="N8" s="171"/>
      <c r="O8" s="171"/>
      <c r="P8" s="171">
        <f>SUM(G8:O8)</f>
        <v>64264.592800000006</v>
      </c>
      <c r="Q8" s="171"/>
    </row>
    <row r="9" spans="1:17" s="140" customFormat="1" x14ac:dyDescent="0.25">
      <c r="A9" s="146"/>
      <c r="B9" s="184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</row>
    <row r="10" spans="1:17" s="140" customFormat="1" x14ac:dyDescent="0.25">
      <c r="A10" s="146"/>
      <c r="B10" s="184" t="s">
        <v>168</v>
      </c>
      <c r="C10" s="171"/>
      <c r="D10" s="171"/>
      <c r="E10" s="171"/>
      <c r="F10" s="171"/>
      <c r="G10" s="171"/>
      <c r="H10" s="171">
        <v>500</v>
      </c>
      <c r="I10" s="183"/>
      <c r="J10" s="171"/>
      <c r="K10" s="171"/>
      <c r="L10" s="171"/>
      <c r="M10" s="171"/>
      <c r="N10" s="171"/>
      <c r="O10" s="171"/>
      <c r="P10" s="171">
        <f>SUM(G10:O10)</f>
        <v>500</v>
      </c>
      <c r="Q10" s="185"/>
    </row>
    <row r="11" spans="1:17" s="140" customFormat="1" x14ac:dyDescent="0.25">
      <c r="A11" s="146"/>
      <c r="B11" s="184"/>
      <c r="C11" s="171"/>
      <c r="D11" s="171"/>
      <c r="E11" s="171"/>
      <c r="F11" s="171"/>
      <c r="G11" s="171"/>
      <c r="H11" s="171"/>
      <c r="I11" s="183"/>
      <c r="J11" s="171"/>
      <c r="K11" s="171"/>
      <c r="L11" s="171"/>
      <c r="M11" s="171"/>
      <c r="N11" s="171"/>
      <c r="O11" s="171"/>
      <c r="P11" s="171"/>
      <c r="Q11" s="182">
        <f>SUM(P7:P10)</f>
        <v>157394.09280000001</v>
      </c>
    </row>
    <row r="12" spans="1:17" s="140" customFormat="1" x14ac:dyDescent="0.25">
      <c r="A12" s="146"/>
      <c r="B12" s="181" t="s">
        <v>167</v>
      </c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79"/>
    </row>
    <row r="13" spans="1:17" s="140" customFormat="1" x14ac:dyDescent="0.25">
      <c r="A13" s="146">
        <v>26.78</v>
      </c>
      <c r="B13" s="178" t="s">
        <v>199</v>
      </c>
      <c r="C13" s="175"/>
      <c r="D13" s="175">
        <f>26*25*52</f>
        <v>33800</v>
      </c>
      <c r="E13" s="175">
        <f>D13*0.03</f>
        <v>1014</v>
      </c>
      <c r="F13" s="175"/>
      <c r="G13" s="175">
        <f t="shared" ref="G13:G14" si="0">D13+E13+F13</f>
        <v>34814</v>
      </c>
      <c r="H13" s="175"/>
      <c r="I13" s="175">
        <f>(G13)*0.0765</f>
        <v>2663.2709999999997</v>
      </c>
      <c r="J13" s="175"/>
      <c r="K13" s="175"/>
      <c r="L13" s="175"/>
      <c r="M13" s="175"/>
      <c r="N13" s="175"/>
      <c r="O13" s="175"/>
      <c r="P13" s="175">
        <f t="shared" ref="P13:P14" si="1">SUM(G13:O13)</f>
        <v>37477.271000000001</v>
      </c>
      <c r="Q13" s="175"/>
    </row>
    <row r="14" spans="1:17" s="140" customFormat="1" x14ac:dyDescent="0.25">
      <c r="A14" s="146">
        <v>22</v>
      </c>
      <c r="B14" s="178" t="s">
        <v>247</v>
      </c>
      <c r="C14" s="175" t="s">
        <v>244</v>
      </c>
      <c r="D14" s="175">
        <f>22*25*52</f>
        <v>28600</v>
      </c>
      <c r="E14" s="175">
        <f>D14*0</f>
        <v>0</v>
      </c>
      <c r="F14" s="175"/>
      <c r="G14" s="175">
        <f t="shared" si="0"/>
        <v>28600</v>
      </c>
      <c r="H14" s="175"/>
      <c r="I14" s="175">
        <f>(G14)*0.0765</f>
        <v>2187.9</v>
      </c>
      <c r="J14" s="175"/>
      <c r="K14" s="175"/>
      <c r="L14" s="175"/>
      <c r="M14" s="175">
        <v>1500</v>
      </c>
      <c r="N14" s="175"/>
      <c r="O14" s="175"/>
      <c r="P14" s="175">
        <f t="shared" si="1"/>
        <v>32287.9</v>
      </c>
      <c r="Q14" s="175"/>
    </row>
    <row r="15" spans="1:17" s="140" customFormat="1" x14ac:dyDescent="0.25">
      <c r="A15" s="146"/>
      <c r="B15" s="175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7"/>
      <c r="N15" s="175"/>
      <c r="O15" s="175"/>
      <c r="P15" s="175"/>
      <c r="Q15" s="176"/>
    </row>
    <row r="16" spans="1:17" s="140" customFormat="1" x14ac:dyDescent="0.25">
      <c r="A16" s="146"/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4"/>
      <c r="Q16" s="173">
        <f>SUM(P13:P15)</f>
        <v>69765.171000000002</v>
      </c>
    </row>
    <row r="17" spans="1:21" s="140" customFormat="1" x14ac:dyDescent="0.25">
      <c r="A17" s="146"/>
      <c r="B17" s="156" t="s">
        <v>166</v>
      </c>
    </row>
    <row r="18" spans="1:21" s="140" customFormat="1" x14ac:dyDescent="0.25">
      <c r="A18" s="146">
        <v>22.28</v>
      </c>
      <c r="B18" s="172" t="s">
        <v>165</v>
      </c>
      <c r="C18" s="168"/>
      <c r="D18" s="168">
        <f>21.63*20*52</f>
        <v>22495.199999999997</v>
      </c>
      <c r="E18" s="168">
        <f>D18*0.03</f>
        <v>674.85599999999988</v>
      </c>
      <c r="F18" s="168"/>
      <c r="G18" s="168">
        <f>D18+E18+F18</f>
        <v>23170.055999999997</v>
      </c>
      <c r="H18" s="168"/>
      <c r="I18" s="168">
        <f>(G18)*0.0765</f>
        <v>1772.5092839999998</v>
      </c>
      <c r="J18" s="168"/>
      <c r="K18" s="168"/>
      <c r="L18" s="168"/>
      <c r="M18" s="168"/>
      <c r="N18" s="168"/>
      <c r="O18" s="168"/>
      <c r="P18" s="168">
        <f>SUM(G18:O18)</f>
        <v>24942.565283999997</v>
      </c>
      <c r="Q18" s="168"/>
      <c r="S18" s="149"/>
    </row>
    <row r="19" spans="1:21" s="140" customFormat="1" x14ac:dyDescent="0.25">
      <c r="A19" s="146">
        <v>27.64</v>
      </c>
      <c r="B19" s="172" t="s">
        <v>164</v>
      </c>
      <c r="C19" s="168"/>
      <c r="D19" s="168">
        <v>55817</v>
      </c>
      <c r="E19" s="168">
        <f>D19*0.03</f>
        <v>1674.51</v>
      </c>
      <c r="F19" s="168"/>
      <c r="G19" s="168">
        <f>D19+E19+F19</f>
        <v>57491.51</v>
      </c>
      <c r="H19" s="168">
        <f>G19*0.03</f>
        <v>1724.7453</v>
      </c>
      <c r="I19" s="168">
        <f>G19*0.0765</f>
        <v>4398.1005150000001</v>
      </c>
      <c r="J19" s="168">
        <f>752*12*1.1</f>
        <v>9926.4000000000015</v>
      </c>
      <c r="K19" s="168">
        <f>100*12</f>
        <v>1200</v>
      </c>
      <c r="L19" s="168">
        <f>25*12*1.1</f>
        <v>330</v>
      </c>
      <c r="M19" s="168"/>
      <c r="N19" s="168"/>
      <c r="O19" s="168"/>
      <c r="P19" s="168">
        <f>SUM(G19:O19)</f>
        <v>75070.755815000011</v>
      </c>
      <c r="Q19" s="170"/>
    </row>
    <row r="20" spans="1:21" s="140" customFormat="1" x14ac:dyDescent="0.25">
      <c r="A20" s="146"/>
      <c r="B20" s="168"/>
      <c r="C20" s="168"/>
      <c r="D20" s="169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7"/>
      <c r="Q20" s="167">
        <f>SUM(P18:P19)</f>
        <v>100013.32109900001</v>
      </c>
      <c r="S20" s="149"/>
    </row>
    <row r="21" spans="1:21" s="140" customFormat="1" x14ac:dyDescent="0.25">
      <c r="A21" s="146"/>
    </row>
    <row r="22" spans="1:21" s="140" customFormat="1" x14ac:dyDescent="0.25">
      <c r="A22" s="146"/>
      <c r="B22" s="156" t="s">
        <v>163</v>
      </c>
    </row>
    <row r="23" spans="1:21" s="140" customFormat="1" x14ac:dyDescent="0.25">
      <c r="A23" s="146">
        <v>24.6</v>
      </c>
      <c r="B23" s="166" t="s">
        <v>249</v>
      </c>
      <c r="C23" s="164" t="s">
        <v>156</v>
      </c>
      <c r="D23" s="164">
        <f>24*20*52</f>
        <v>24960</v>
      </c>
      <c r="E23" s="164">
        <f>D23*0.03</f>
        <v>748.8</v>
      </c>
      <c r="F23" s="164"/>
      <c r="G23" s="164">
        <f>D23+E23+F23</f>
        <v>25708.799999999999</v>
      </c>
      <c r="H23" s="164"/>
      <c r="I23" s="164">
        <f>G23*0.0765</f>
        <v>1966.7231999999999</v>
      </c>
      <c r="J23" s="164"/>
      <c r="K23" s="164"/>
      <c r="L23" s="164"/>
      <c r="M23" s="164"/>
      <c r="N23" s="164"/>
      <c r="O23" s="164"/>
      <c r="P23" s="164">
        <f>SUM(G23:O23)</f>
        <v>27675.5232</v>
      </c>
      <c r="Q23" s="204"/>
    </row>
    <row r="24" spans="1:21" s="140" customFormat="1" x14ac:dyDescent="0.25">
      <c r="A24" s="146">
        <v>20.6</v>
      </c>
      <c r="B24" s="164" t="s">
        <v>250</v>
      </c>
      <c r="C24" s="164" t="s">
        <v>156</v>
      </c>
      <c r="D24" s="164">
        <f>20*10*52</f>
        <v>10400</v>
      </c>
      <c r="E24" s="164">
        <f>D24*0.03</f>
        <v>312</v>
      </c>
      <c r="F24" s="164"/>
      <c r="G24" s="164">
        <f>D24+E24+F24</f>
        <v>10712</v>
      </c>
      <c r="H24" s="164"/>
      <c r="I24" s="164">
        <f>G24*0.0765</f>
        <v>819.46799999999996</v>
      </c>
      <c r="J24" s="164"/>
      <c r="K24" s="164"/>
      <c r="L24" s="164"/>
      <c r="M24" s="164"/>
      <c r="N24" s="164"/>
      <c r="O24" s="164"/>
      <c r="P24" s="164">
        <f>SUM(G24:O24)</f>
        <v>11531.468000000001</v>
      </c>
      <c r="Q24" s="204"/>
    </row>
    <row r="25" spans="1:21" s="140" customFormat="1" x14ac:dyDescent="0.25">
      <c r="A25" s="146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205">
        <f>SUM(P23:P24)</f>
        <v>39206.991200000004</v>
      </c>
      <c r="T25" s="162"/>
      <c r="U25" s="149"/>
    </row>
    <row r="26" spans="1:21" s="140" customFormat="1" x14ac:dyDescent="0.25">
      <c r="A26" s="146"/>
      <c r="B26" s="156" t="s">
        <v>161</v>
      </c>
    </row>
    <row r="27" spans="1:21" s="140" customFormat="1" x14ac:dyDescent="0.25">
      <c r="A27" s="155">
        <v>15.5</v>
      </c>
      <c r="B27" s="160" t="s">
        <v>206</v>
      </c>
      <c r="C27" s="158" t="s">
        <v>156</v>
      </c>
      <c r="D27" s="158">
        <f>14.49*9*52</f>
        <v>6781.32</v>
      </c>
      <c r="E27" s="158">
        <f>1.01*9*52</f>
        <v>472.68</v>
      </c>
      <c r="F27" s="158"/>
      <c r="G27" s="158">
        <f>D27+E27+F27</f>
        <v>7254</v>
      </c>
      <c r="H27" s="158"/>
      <c r="I27" s="158">
        <f>G27*0.0765</f>
        <v>554.93100000000004</v>
      </c>
      <c r="J27" s="158"/>
      <c r="K27" s="158"/>
      <c r="L27" s="158"/>
      <c r="M27" s="158"/>
      <c r="N27" s="158"/>
      <c r="O27" s="158"/>
      <c r="P27" s="158">
        <f>SUM(G27:O27)</f>
        <v>7808.9310000000005</v>
      </c>
      <c r="Q27" s="158"/>
      <c r="S27" s="161"/>
      <c r="U27" s="149"/>
    </row>
    <row r="28" spans="1:21" s="140" customFormat="1" x14ac:dyDescent="0.25">
      <c r="A28" s="155">
        <v>15.5</v>
      </c>
      <c r="B28" s="160" t="s">
        <v>207</v>
      </c>
      <c r="C28" s="158" t="s">
        <v>156</v>
      </c>
      <c r="D28" s="158">
        <f>14.2*8*52</f>
        <v>5907.2</v>
      </c>
      <c r="E28" s="158">
        <f>1.3*8*52</f>
        <v>540.80000000000007</v>
      </c>
      <c r="F28" s="158"/>
      <c r="G28" s="158">
        <f>D28+E28+F28</f>
        <v>6448</v>
      </c>
      <c r="H28" s="158"/>
      <c r="I28" s="158">
        <f>G28*0.0765</f>
        <v>493.27199999999999</v>
      </c>
      <c r="J28" s="158"/>
      <c r="K28" s="158"/>
      <c r="L28" s="158"/>
      <c r="M28" s="158"/>
      <c r="N28" s="158"/>
      <c r="O28" s="158"/>
      <c r="P28" s="158">
        <f>SUM(G28:O28)</f>
        <v>6941.2719999999999</v>
      </c>
      <c r="Q28" s="158"/>
      <c r="S28" s="161"/>
      <c r="U28" s="149"/>
    </row>
    <row r="29" spans="1:21" s="140" customFormat="1" x14ac:dyDescent="0.25">
      <c r="A29" s="155">
        <v>15</v>
      </c>
      <c r="B29" s="160" t="s">
        <v>251</v>
      </c>
      <c r="C29" s="158" t="s">
        <v>156</v>
      </c>
      <c r="D29" s="158">
        <f>13.75*4*52</f>
        <v>2860</v>
      </c>
      <c r="E29" s="158">
        <f>1.25*4*52</f>
        <v>260</v>
      </c>
      <c r="F29" s="158"/>
      <c r="G29" s="158">
        <f>D29+E29+F29</f>
        <v>3120</v>
      </c>
      <c r="H29" s="158"/>
      <c r="I29" s="158">
        <f>G29*0.0765</f>
        <v>238.68</v>
      </c>
      <c r="J29" s="158"/>
      <c r="K29" s="158"/>
      <c r="L29" s="158"/>
      <c r="M29" s="158"/>
      <c r="N29" s="158"/>
      <c r="O29" s="158"/>
      <c r="P29" s="158">
        <f>SUM(G29:O29)</f>
        <v>3358.68</v>
      </c>
      <c r="Q29" s="158"/>
    </row>
    <row r="30" spans="1:21" s="140" customFormat="1" x14ac:dyDescent="0.25">
      <c r="A30" s="155" t="s">
        <v>201</v>
      </c>
      <c r="B30" s="160"/>
      <c r="C30" s="158"/>
      <c r="D30" s="158"/>
      <c r="E30" s="158" t="s">
        <v>263</v>
      </c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9"/>
    </row>
    <row r="31" spans="1:21" s="140" customFormat="1" x14ac:dyDescent="0.25">
      <c r="A31" s="146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7"/>
      <c r="Q31" s="157">
        <f>SUM(P27:P30)</f>
        <v>18108.883000000002</v>
      </c>
    </row>
    <row r="32" spans="1:21" s="140" customFormat="1" x14ac:dyDescent="0.25">
      <c r="A32" s="146"/>
      <c r="B32" s="156" t="s">
        <v>160</v>
      </c>
    </row>
    <row r="33" spans="1:22" s="140" customFormat="1" x14ac:dyDescent="0.25">
      <c r="A33" s="155">
        <v>15</v>
      </c>
      <c r="B33" s="154" t="s">
        <v>159</v>
      </c>
      <c r="C33" s="153" t="s">
        <v>134</v>
      </c>
      <c r="D33" s="153">
        <f>(10*40*13.75)+(2*10*20.63)+87</f>
        <v>5999.6</v>
      </c>
      <c r="E33" s="153">
        <v>500</v>
      </c>
      <c r="F33" s="153">
        <v>0</v>
      </c>
      <c r="G33" s="153">
        <f>D33+E33+F33</f>
        <v>6499.6</v>
      </c>
      <c r="H33" s="153"/>
      <c r="I33" s="153">
        <f>G33*0.0765</f>
        <v>497.21940000000001</v>
      </c>
      <c r="J33" s="153"/>
      <c r="K33" s="153"/>
      <c r="L33" s="153"/>
      <c r="M33" s="153"/>
      <c r="N33" s="153"/>
      <c r="O33" s="153"/>
      <c r="P33" s="153"/>
      <c r="Q33" s="153">
        <f>SUM(G33:N33)</f>
        <v>6996.8194000000003</v>
      </c>
    </row>
    <row r="34" spans="1:22" s="140" customFormat="1" x14ac:dyDescent="0.25">
      <c r="A34" s="155" t="s">
        <v>201</v>
      </c>
      <c r="B34" s="154" t="s">
        <v>158</v>
      </c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>
        <v>500</v>
      </c>
      <c r="N34" s="153"/>
      <c r="O34" s="153"/>
      <c r="P34" s="153"/>
      <c r="Q34" s="153">
        <f>SUM(G34:N34)</f>
        <v>500</v>
      </c>
    </row>
    <row r="35" spans="1:22" s="140" customFormat="1" x14ac:dyDescent="0.25">
      <c r="A35" s="146"/>
      <c r="B35" s="152" t="s">
        <v>157</v>
      </c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0">
        <v>5000</v>
      </c>
      <c r="P35" s="151"/>
      <c r="Q35" s="150">
        <f>SUM(G35:O35)</f>
        <v>5000</v>
      </c>
      <c r="V35" s="149"/>
    </row>
    <row r="36" spans="1:22" s="140" customFormat="1" x14ac:dyDescent="0.25">
      <c r="A36" s="146"/>
      <c r="D36" s="148">
        <f t="shared" ref="D36:O36" si="2">SUM(D7:D35)</f>
        <v>321812.32</v>
      </c>
      <c r="E36" s="148">
        <f t="shared" si="2"/>
        <v>9923.405999999999</v>
      </c>
      <c r="F36" s="148">
        <f t="shared" si="2"/>
        <v>0</v>
      </c>
      <c r="G36" s="148">
        <f t="shared" si="2"/>
        <v>331735.72599999997</v>
      </c>
      <c r="H36" s="148">
        <f t="shared" si="2"/>
        <v>6062.2780999999995</v>
      </c>
      <c r="I36" s="148">
        <f t="shared" si="2"/>
        <v>15592.074399000003</v>
      </c>
      <c r="J36" s="148">
        <f t="shared" si="2"/>
        <v>29779.200000000004</v>
      </c>
      <c r="K36" s="148">
        <f t="shared" si="2"/>
        <v>1560</v>
      </c>
      <c r="L36" s="148">
        <f t="shared" si="2"/>
        <v>1056</v>
      </c>
      <c r="M36" s="148">
        <f t="shared" si="2"/>
        <v>5000</v>
      </c>
      <c r="N36" s="148">
        <f t="shared" si="2"/>
        <v>1200</v>
      </c>
      <c r="O36" s="140">
        <f t="shared" si="2"/>
        <v>5000</v>
      </c>
      <c r="P36" s="148"/>
      <c r="Q36" s="42">
        <f>SUM(Q7:Q35)</f>
        <v>396985.27849899995</v>
      </c>
      <c r="S36" s="206">
        <v>410848</v>
      </c>
      <c r="T36" s="140" t="s">
        <v>242</v>
      </c>
    </row>
    <row r="37" spans="1:22" s="140" customFormat="1" x14ac:dyDescent="0.25">
      <c r="A37" s="146"/>
      <c r="S37" s="206">
        <v>432200</v>
      </c>
      <c r="T37" s="140" t="s">
        <v>200</v>
      </c>
    </row>
    <row r="38" spans="1:22" s="140" customFormat="1" x14ac:dyDescent="0.25">
      <c r="A38" s="146" t="s">
        <v>156</v>
      </c>
      <c r="B38" t="s">
        <v>155</v>
      </c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S38" s="206">
        <v>345215</v>
      </c>
      <c r="T38" s="147" t="s">
        <v>208</v>
      </c>
    </row>
    <row r="39" spans="1:22" x14ac:dyDescent="0.25">
      <c r="S39" s="206"/>
    </row>
    <row r="40" spans="1:22" x14ac:dyDescent="0.25">
      <c r="A40" s="146" t="s">
        <v>130</v>
      </c>
      <c r="B40" t="s">
        <v>261</v>
      </c>
      <c r="S40" s="206"/>
    </row>
    <row r="41" spans="1:22" x14ac:dyDescent="0.25">
      <c r="A41" s="146" t="s">
        <v>131</v>
      </c>
      <c r="B41" t="s">
        <v>243</v>
      </c>
    </row>
    <row r="42" spans="1:22" x14ac:dyDescent="0.25">
      <c r="A42" s="146" t="s">
        <v>134</v>
      </c>
      <c r="B42" t="s">
        <v>252</v>
      </c>
    </row>
    <row r="44" spans="1:22" x14ac:dyDescent="0.25">
      <c r="B44" t="s">
        <v>253</v>
      </c>
    </row>
  </sheetData>
  <pageMargins left="0.2" right="0.2" top="0" bottom="0" header="0.3" footer="0.3"/>
  <pageSetup scale="88" orientation="landscape" copies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4EAF7-3949-CE44-A74C-B23A3FF6CD17}">
  <sheetPr>
    <pageSetUpPr fitToPage="1"/>
  </sheetPr>
  <dimension ref="A1:V44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S11" sqref="S11"/>
    </sheetView>
  </sheetViews>
  <sheetFormatPr defaultColWidth="8.7109375" defaultRowHeight="15" x14ac:dyDescent="0.25"/>
  <cols>
    <col min="1" max="1" width="7.42578125" style="146" customWidth="1"/>
    <col min="2" max="2" width="19.42578125" customWidth="1"/>
    <col min="3" max="3" width="1.7109375" customWidth="1"/>
    <col min="4" max="4" width="7.7109375" customWidth="1"/>
    <col min="5" max="5" width="6.28515625" customWidth="1"/>
    <col min="6" max="6" width="7.42578125" customWidth="1"/>
    <col min="7" max="7" width="8" customWidth="1"/>
    <col min="8" max="8" width="7.7109375" customWidth="1"/>
    <col min="9" max="10" width="6.7109375" customWidth="1"/>
    <col min="11" max="11" width="6.42578125" customWidth="1"/>
    <col min="12" max="12" width="8.7109375" customWidth="1"/>
    <col min="13" max="13" width="7.7109375" customWidth="1"/>
    <col min="14" max="15" width="5.7109375" customWidth="1"/>
    <col min="16" max="16" width="7.42578125" bestFit="1" customWidth="1"/>
    <col min="17" max="17" width="7.42578125" customWidth="1"/>
    <col min="18" max="18" width="7.7109375" customWidth="1"/>
    <col min="19" max="19" width="10.140625" bestFit="1" customWidth="1"/>
  </cols>
  <sheetData>
    <row r="1" spans="1:17" ht="18.75" x14ac:dyDescent="0.3">
      <c r="A1" s="197" t="s">
        <v>196</v>
      </c>
      <c r="B1" s="190"/>
      <c r="C1" s="190"/>
      <c r="D1" s="190"/>
      <c r="E1" s="190"/>
      <c r="F1" s="190"/>
      <c r="G1" s="197" t="s">
        <v>197</v>
      </c>
      <c r="H1" s="197"/>
      <c r="I1" s="197"/>
      <c r="J1" s="197"/>
      <c r="K1" s="197"/>
      <c r="L1" s="190"/>
      <c r="M1" s="190"/>
      <c r="N1" s="190"/>
      <c r="O1" s="190"/>
      <c r="P1" s="190"/>
    </row>
    <row r="2" spans="1:17" x14ac:dyDescent="0.25">
      <c r="E2" s="4">
        <v>2025</v>
      </c>
      <c r="G2" s="196" t="s">
        <v>195</v>
      </c>
    </row>
    <row r="3" spans="1:17" x14ac:dyDescent="0.25">
      <c r="A3" s="4">
        <v>2025</v>
      </c>
      <c r="D3" s="4">
        <v>2024</v>
      </c>
      <c r="E3" s="195" t="s">
        <v>194</v>
      </c>
      <c r="F3" s="4">
        <v>2025</v>
      </c>
      <c r="G3" s="4">
        <v>2025</v>
      </c>
      <c r="H3" s="194">
        <v>0.03</v>
      </c>
      <c r="N3" t="s">
        <v>193</v>
      </c>
    </row>
    <row r="4" spans="1:17" x14ac:dyDescent="0.25">
      <c r="A4" s="146" t="s">
        <v>191</v>
      </c>
      <c r="D4" s="4" t="s">
        <v>192</v>
      </c>
      <c r="E4" s="194" t="s">
        <v>191</v>
      </c>
      <c r="F4" s="193" t="s">
        <v>190</v>
      </c>
      <c r="G4" s="4" t="s">
        <v>189</v>
      </c>
      <c r="H4" s="4" t="s">
        <v>188</v>
      </c>
      <c r="I4" s="4"/>
      <c r="J4" s="4"/>
      <c r="K4" s="4"/>
      <c r="L4" s="4"/>
      <c r="M4" s="4" t="s">
        <v>187</v>
      </c>
      <c r="N4" s="192" t="s">
        <v>186</v>
      </c>
      <c r="O4" s="4" t="s">
        <v>185</v>
      </c>
      <c r="P4" s="4"/>
    </row>
    <row r="5" spans="1:17" x14ac:dyDescent="0.25">
      <c r="A5" s="191" t="s">
        <v>184</v>
      </c>
      <c r="B5" s="187" t="s">
        <v>183</v>
      </c>
      <c r="C5" s="190"/>
      <c r="D5" s="187" t="s">
        <v>182</v>
      </c>
      <c r="E5" s="187" t="s">
        <v>181</v>
      </c>
      <c r="F5" s="189" t="s">
        <v>180</v>
      </c>
      <c r="G5" s="187"/>
      <c r="H5" s="187" t="s">
        <v>179</v>
      </c>
      <c r="I5" s="187" t="s">
        <v>178</v>
      </c>
      <c r="J5" s="187" t="s">
        <v>177</v>
      </c>
      <c r="K5" s="187" t="s">
        <v>176</v>
      </c>
      <c r="L5" s="187" t="s">
        <v>175</v>
      </c>
      <c r="M5" s="187" t="s">
        <v>174</v>
      </c>
      <c r="N5" s="188" t="s">
        <v>173</v>
      </c>
      <c r="O5" s="187" t="s">
        <v>172</v>
      </c>
      <c r="P5" s="187" t="s">
        <v>171</v>
      </c>
    </row>
    <row r="6" spans="1:17" s="140" customFormat="1" x14ac:dyDescent="0.25">
      <c r="B6" s="181" t="s">
        <v>170</v>
      </c>
    </row>
    <row r="7" spans="1:17" s="140" customFormat="1" x14ac:dyDescent="0.25">
      <c r="A7" s="146"/>
      <c r="B7" s="184" t="s">
        <v>234</v>
      </c>
      <c r="C7" s="171" t="s">
        <v>130</v>
      </c>
      <c r="D7" s="171">
        <v>80000</v>
      </c>
      <c r="E7" s="171">
        <v>0</v>
      </c>
      <c r="F7" s="171"/>
      <c r="G7" s="171">
        <v>75000</v>
      </c>
      <c r="H7" s="171">
        <f>G7*0.03</f>
        <v>2250</v>
      </c>
      <c r="I7" s="171"/>
      <c r="J7" s="171">
        <f>(1200*12)-K7</f>
        <v>13747</v>
      </c>
      <c r="K7" s="171">
        <f>653</f>
        <v>653</v>
      </c>
      <c r="L7" s="171">
        <f>530</f>
        <v>530</v>
      </c>
      <c r="M7" s="171">
        <v>1500</v>
      </c>
      <c r="N7" s="171">
        <v>1200</v>
      </c>
      <c r="O7" s="171"/>
      <c r="P7" s="171">
        <f>SUM(G7:O7)</f>
        <v>94880</v>
      </c>
      <c r="Q7" s="171"/>
    </row>
    <row r="8" spans="1:17" s="140" customFormat="1" x14ac:dyDescent="0.25">
      <c r="A8" s="146">
        <v>23.65</v>
      </c>
      <c r="B8" s="184" t="s">
        <v>169</v>
      </c>
      <c r="C8" s="171"/>
      <c r="D8" s="171">
        <v>47300</v>
      </c>
      <c r="E8" s="171">
        <f>D8*0.04</f>
        <v>1892</v>
      </c>
      <c r="F8" s="171"/>
      <c r="G8" s="171">
        <f>D8+E8+F8</f>
        <v>49192</v>
      </c>
      <c r="H8" s="171">
        <f>G8*0.03</f>
        <v>1475.76</v>
      </c>
      <c r="I8" s="171"/>
      <c r="J8" s="171">
        <f>513.5*12*1.1</f>
        <v>6778.2000000000007</v>
      </c>
      <c r="K8" s="171">
        <v>319</v>
      </c>
      <c r="L8" s="171">
        <v>250</v>
      </c>
      <c r="M8" s="171">
        <v>1500</v>
      </c>
      <c r="N8" s="171"/>
      <c r="O8" s="171"/>
      <c r="P8" s="171">
        <f>SUM(G8:O8)</f>
        <v>59514.960000000006</v>
      </c>
      <c r="Q8" s="171"/>
    </row>
    <row r="9" spans="1:17" s="140" customFormat="1" x14ac:dyDescent="0.25">
      <c r="A9" s="146">
        <v>20.67</v>
      </c>
      <c r="B9" s="184" t="s">
        <v>198</v>
      </c>
      <c r="C9" s="171" t="s">
        <v>131</v>
      </c>
      <c r="D9" s="171">
        <v>43000</v>
      </c>
      <c r="E9" s="171">
        <v>0</v>
      </c>
      <c r="F9" s="171"/>
      <c r="G9" s="171">
        <f>D9+E9+F9</f>
        <v>43000</v>
      </c>
      <c r="H9" s="171">
        <f>G9*0.03</f>
        <v>1290</v>
      </c>
      <c r="I9" s="171"/>
      <c r="J9" s="171">
        <f>513.5*12*1.1</f>
        <v>6778.2000000000007</v>
      </c>
      <c r="K9" s="171">
        <v>319</v>
      </c>
      <c r="L9" s="171">
        <v>225</v>
      </c>
      <c r="M9" s="171">
        <v>1500</v>
      </c>
      <c r="N9" s="171"/>
      <c r="O9" s="171"/>
      <c r="P9" s="171">
        <f>SUM(G9:O9)</f>
        <v>53112.2</v>
      </c>
      <c r="Q9" s="171"/>
    </row>
    <row r="10" spans="1:17" s="140" customFormat="1" x14ac:dyDescent="0.25">
      <c r="A10" s="146"/>
      <c r="B10" s="184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</row>
    <row r="11" spans="1:17" s="140" customFormat="1" x14ac:dyDescent="0.25">
      <c r="A11" s="146"/>
      <c r="B11" s="184" t="s">
        <v>168</v>
      </c>
      <c r="C11" s="171"/>
      <c r="D11" s="171"/>
      <c r="E11" s="171"/>
      <c r="F11" s="171"/>
      <c r="G11" s="171"/>
      <c r="H11" s="171">
        <v>500</v>
      </c>
      <c r="I11" s="183"/>
      <c r="J11" s="171"/>
      <c r="K11" s="171"/>
      <c r="L11" s="171"/>
      <c r="M11" s="171"/>
      <c r="N11" s="171"/>
      <c r="O11" s="171"/>
      <c r="P11" s="171">
        <f>SUM(G11:O11)</f>
        <v>500</v>
      </c>
      <c r="Q11" s="185"/>
    </row>
    <row r="12" spans="1:17" s="140" customFormat="1" x14ac:dyDescent="0.25">
      <c r="A12" s="146"/>
      <c r="B12" s="184"/>
      <c r="C12" s="171"/>
      <c r="D12" s="171"/>
      <c r="E12" s="171"/>
      <c r="F12" s="171"/>
      <c r="G12" s="171"/>
      <c r="H12" s="171"/>
      <c r="I12" s="183"/>
      <c r="J12" s="171"/>
      <c r="K12" s="171"/>
      <c r="L12" s="171"/>
      <c r="M12" s="171"/>
      <c r="N12" s="171"/>
      <c r="O12" s="171"/>
      <c r="P12" s="171"/>
      <c r="Q12" s="182">
        <f>SUM(P7:P11)</f>
        <v>208007.16000000003</v>
      </c>
    </row>
    <row r="13" spans="1:17" s="140" customFormat="1" x14ac:dyDescent="0.25">
      <c r="A13" s="146"/>
      <c r="B13" s="181" t="s">
        <v>167</v>
      </c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180"/>
      <c r="O13" s="180"/>
      <c r="P13" s="179"/>
    </row>
    <row r="14" spans="1:17" s="140" customFormat="1" x14ac:dyDescent="0.25">
      <c r="A14" s="146">
        <v>26</v>
      </c>
      <c r="B14" s="178" t="s">
        <v>199</v>
      </c>
      <c r="C14" s="175"/>
      <c r="D14" s="175">
        <f>25*25*52</f>
        <v>32500</v>
      </c>
      <c r="E14" s="175">
        <f t="shared" ref="E14:E15" si="0">D14*0.04</f>
        <v>1300</v>
      </c>
      <c r="F14" s="175"/>
      <c r="G14" s="175">
        <f t="shared" ref="G14:G15" si="1">D14+E14+F14</f>
        <v>33800</v>
      </c>
      <c r="H14" s="175"/>
      <c r="I14" s="175">
        <f>(G14)*0.0765</f>
        <v>2585.6999999999998</v>
      </c>
      <c r="J14" s="175"/>
      <c r="K14" s="175"/>
      <c r="L14" s="175"/>
      <c r="M14" s="175"/>
      <c r="N14" s="175"/>
      <c r="O14" s="175"/>
      <c r="P14" s="175">
        <f t="shared" ref="P14:P15" si="2">SUM(G14:O14)</f>
        <v>36385.699999999997</v>
      </c>
      <c r="Q14" s="175"/>
    </row>
    <row r="15" spans="1:17" s="140" customFormat="1" x14ac:dyDescent="0.25">
      <c r="A15" s="146">
        <v>20.8</v>
      </c>
      <c r="B15" s="178" t="s">
        <v>238</v>
      </c>
      <c r="C15" s="175"/>
      <c r="D15" s="175">
        <f>20*20*52</f>
        <v>20800</v>
      </c>
      <c r="E15" s="175">
        <f t="shared" si="0"/>
        <v>832</v>
      </c>
      <c r="F15" s="175">
        <f>-20.8*20*26</f>
        <v>-10816</v>
      </c>
      <c r="G15" s="175">
        <f t="shared" si="1"/>
        <v>10816</v>
      </c>
      <c r="H15" s="175"/>
      <c r="I15" s="175">
        <f>(G15)*0.0765</f>
        <v>827.42399999999998</v>
      </c>
      <c r="J15" s="175"/>
      <c r="K15" s="175"/>
      <c r="L15" s="175"/>
      <c r="M15" s="175"/>
      <c r="N15" s="175"/>
      <c r="O15" s="175"/>
      <c r="P15" s="175">
        <f t="shared" si="2"/>
        <v>11643.423999999999</v>
      </c>
      <c r="Q15" s="175"/>
    </row>
    <row r="16" spans="1:17" s="140" customFormat="1" x14ac:dyDescent="0.25">
      <c r="A16" s="146">
        <v>22</v>
      </c>
      <c r="B16" s="178" t="s">
        <v>235</v>
      </c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7"/>
      <c r="N16" s="175"/>
      <c r="O16" s="175"/>
      <c r="P16" s="175"/>
      <c r="Q16" s="176"/>
    </row>
    <row r="17" spans="1:21" s="140" customFormat="1" x14ac:dyDescent="0.25">
      <c r="A17" s="146"/>
      <c r="B17" s="175"/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  <c r="O17" s="175"/>
      <c r="P17" s="174"/>
      <c r="Q17" s="173">
        <f>SUM(P14:P16)</f>
        <v>48029.123999999996</v>
      </c>
    </row>
    <row r="18" spans="1:21" s="140" customFormat="1" x14ac:dyDescent="0.25">
      <c r="A18" s="146"/>
      <c r="B18" s="156" t="s">
        <v>166</v>
      </c>
    </row>
    <row r="19" spans="1:21" s="140" customFormat="1" x14ac:dyDescent="0.25">
      <c r="A19" s="146">
        <v>21.63</v>
      </c>
      <c r="B19" s="172" t="s">
        <v>165</v>
      </c>
      <c r="C19" s="168"/>
      <c r="D19" s="168">
        <f>20.8*20*52</f>
        <v>21632</v>
      </c>
      <c r="E19" s="168">
        <f>D19*0.04</f>
        <v>865.28</v>
      </c>
      <c r="F19" s="168"/>
      <c r="G19" s="168">
        <f>D19+E19+F19</f>
        <v>22497.279999999999</v>
      </c>
      <c r="H19" s="168"/>
      <c r="I19" s="168">
        <f>(G19)*0.0765</f>
        <v>1721.0419199999999</v>
      </c>
      <c r="J19" s="168"/>
      <c r="K19" s="168"/>
      <c r="L19" s="168"/>
      <c r="M19" s="168"/>
      <c r="N19" s="168"/>
      <c r="O19" s="168"/>
      <c r="P19" s="168">
        <f>SUM(G19:O19)</f>
        <v>24218.321919999998</v>
      </c>
      <c r="Q19" s="168"/>
      <c r="S19" s="149"/>
    </row>
    <row r="20" spans="1:21" s="140" customFormat="1" x14ac:dyDescent="0.25">
      <c r="A20" s="146">
        <v>26.84</v>
      </c>
      <c r="B20" s="172" t="s">
        <v>164</v>
      </c>
      <c r="C20" s="168"/>
      <c r="D20" s="168">
        <v>53670</v>
      </c>
      <c r="E20" s="168">
        <f>D20*0.04</f>
        <v>2146.8000000000002</v>
      </c>
      <c r="F20" s="168"/>
      <c r="G20" s="168">
        <f>D20+E20+F20</f>
        <v>55816.800000000003</v>
      </c>
      <c r="H20" s="168">
        <f>G20*0.03</f>
        <v>1674.5040000000001</v>
      </c>
      <c r="I20" s="168">
        <f>G20*0.0765</f>
        <v>4269.9852000000001</v>
      </c>
      <c r="J20" s="168">
        <f>513.5*12*1.1</f>
        <v>6778.2000000000007</v>
      </c>
      <c r="K20" s="168">
        <v>1087</v>
      </c>
      <c r="L20" s="168">
        <v>250</v>
      </c>
      <c r="M20" s="168"/>
      <c r="N20" s="168"/>
      <c r="O20" s="168"/>
      <c r="P20" s="168">
        <f>SUM(G20:O20)</f>
        <v>69876.489200000011</v>
      </c>
      <c r="Q20" s="170"/>
    </row>
    <row r="21" spans="1:21" s="140" customFormat="1" x14ac:dyDescent="0.25">
      <c r="A21" s="146"/>
      <c r="B21" s="168"/>
      <c r="C21" s="168"/>
      <c r="D21" s="169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7"/>
      <c r="Q21" s="167">
        <f>SUM(P19:P20)</f>
        <v>94094.811120000013</v>
      </c>
      <c r="S21" s="149"/>
    </row>
    <row r="22" spans="1:21" s="140" customFormat="1" x14ac:dyDescent="0.25">
      <c r="A22" s="146"/>
    </row>
    <row r="23" spans="1:21" s="140" customFormat="1" x14ac:dyDescent="0.25">
      <c r="A23" s="146"/>
      <c r="B23" s="156" t="s">
        <v>163</v>
      </c>
    </row>
    <row r="24" spans="1:21" s="140" customFormat="1" x14ac:dyDescent="0.25">
      <c r="A24" s="146">
        <v>24</v>
      </c>
      <c r="B24" s="166" t="s">
        <v>162</v>
      </c>
      <c r="C24" s="164" t="s">
        <v>156</v>
      </c>
      <c r="D24" s="164">
        <f>23.08*20*52</f>
        <v>24003.199999999997</v>
      </c>
      <c r="E24" s="164">
        <f>D24*0.04</f>
        <v>960.12799999999993</v>
      </c>
      <c r="F24" s="164"/>
      <c r="G24" s="164">
        <f>D24+E24+F24</f>
        <v>24963.327999999998</v>
      </c>
      <c r="H24" s="164"/>
      <c r="I24" s="164">
        <f>G24*0.0765</f>
        <v>1909.6945919999998</v>
      </c>
      <c r="J24" s="164"/>
      <c r="K24" s="164"/>
      <c r="L24" s="164"/>
      <c r="M24" s="164"/>
      <c r="N24" s="164"/>
      <c r="O24" s="164"/>
      <c r="P24" s="164">
        <f>SUM(G24:O24)</f>
        <v>26873.022591999998</v>
      </c>
      <c r="Q24" s="165"/>
    </row>
    <row r="25" spans="1:21" s="140" customFormat="1" x14ac:dyDescent="0.25">
      <c r="A25" s="146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3">
        <f>SUM(P24)</f>
        <v>26873.022591999998</v>
      </c>
      <c r="T25" s="162"/>
      <c r="U25" s="149"/>
    </row>
    <row r="26" spans="1:21" s="140" customFormat="1" x14ac:dyDescent="0.25">
      <c r="A26" s="146"/>
      <c r="B26" s="156" t="s">
        <v>161</v>
      </c>
    </row>
    <row r="27" spans="1:21" s="140" customFormat="1" x14ac:dyDescent="0.25">
      <c r="A27" s="155">
        <v>14.49</v>
      </c>
      <c r="B27" s="160" t="s">
        <v>206</v>
      </c>
      <c r="C27" s="158" t="s">
        <v>156</v>
      </c>
      <c r="D27" s="158">
        <f>13.93*9*52</f>
        <v>6519.24</v>
      </c>
      <c r="E27" s="158">
        <f>D27*0.04</f>
        <v>260.76959999999997</v>
      </c>
      <c r="F27" s="158"/>
      <c r="G27" s="158">
        <f>D27+E27+F27</f>
        <v>6780.0095999999994</v>
      </c>
      <c r="H27" s="158"/>
      <c r="I27" s="158">
        <f>G27*0.0765</f>
        <v>518.6707343999999</v>
      </c>
      <c r="J27" s="158"/>
      <c r="K27" s="158"/>
      <c r="L27" s="158"/>
      <c r="M27" s="158"/>
      <c r="N27" s="158"/>
      <c r="O27" s="158"/>
      <c r="P27" s="158">
        <f>SUM(G27:O27)</f>
        <v>7298.6803343999991</v>
      </c>
      <c r="Q27" s="158"/>
      <c r="S27" s="161"/>
      <c r="U27" s="149"/>
    </row>
    <row r="28" spans="1:21" s="140" customFormat="1" x14ac:dyDescent="0.25">
      <c r="A28" s="155">
        <v>14.2</v>
      </c>
      <c r="B28" s="160" t="s">
        <v>236</v>
      </c>
      <c r="C28" s="158" t="s">
        <v>156</v>
      </c>
      <c r="D28" s="158">
        <f>13.65*8*52</f>
        <v>5678.4000000000005</v>
      </c>
      <c r="E28" s="158">
        <f>D28*0.04</f>
        <v>227.13600000000002</v>
      </c>
      <c r="F28" s="158"/>
      <c r="G28" s="158">
        <f>D28+E28+F28</f>
        <v>5905.536000000001</v>
      </c>
      <c r="H28" s="158"/>
      <c r="I28" s="158">
        <f>G28*0.0765</f>
        <v>451.77350400000006</v>
      </c>
      <c r="J28" s="158"/>
      <c r="K28" s="158"/>
      <c r="L28" s="158"/>
      <c r="M28" s="158"/>
      <c r="N28" s="158"/>
      <c r="O28" s="158"/>
      <c r="P28" s="158">
        <f>SUM(G28:O28)</f>
        <v>6357.3095040000007</v>
      </c>
      <c r="Q28" s="158"/>
      <c r="S28" s="161"/>
      <c r="U28" s="149"/>
    </row>
    <row r="29" spans="1:21" s="140" customFormat="1" x14ac:dyDescent="0.25">
      <c r="A29" s="155">
        <v>13.75</v>
      </c>
      <c r="B29" s="160" t="s">
        <v>237</v>
      </c>
      <c r="C29" s="158" t="s">
        <v>156</v>
      </c>
      <c r="D29" s="158">
        <f>12.48*4*52</f>
        <v>2595.84</v>
      </c>
      <c r="E29" s="158">
        <f>D29*0.102</f>
        <v>264.77568000000002</v>
      </c>
      <c r="F29" s="158"/>
      <c r="G29" s="158">
        <f>D29+E29+F29</f>
        <v>2860.6156800000003</v>
      </c>
      <c r="H29" s="158"/>
      <c r="I29" s="158">
        <f>G29*0.0765</f>
        <v>218.83709952000001</v>
      </c>
      <c r="J29" s="158"/>
      <c r="K29" s="158"/>
      <c r="L29" s="158"/>
      <c r="M29" s="158"/>
      <c r="N29" s="158"/>
      <c r="O29" s="158"/>
      <c r="P29" s="158">
        <f>SUM(G29:O29)</f>
        <v>3079.4527795200001</v>
      </c>
      <c r="Q29" s="158"/>
    </row>
    <row r="30" spans="1:21" s="140" customFormat="1" x14ac:dyDescent="0.25">
      <c r="A30" s="155" t="s">
        <v>201</v>
      </c>
      <c r="B30" s="160"/>
      <c r="C30" s="158"/>
      <c r="D30" s="158"/>
      <c r="E30" s="158" t="s">
        <v>202</v>
      </c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9"/>
    </row>
    <row r="31" spans="1:21" s="140" customFormat="1" x14ac:dyDescent="0.25">
      <c r="A31" s="146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7"/>
      <c r="Q31" s="157">
        <f>SUM(P27:P30)</f>
        <v>16735.442617920002</v>
      </c>
    </row>
    <row r="32" spans="1:21" s="140" customFormat="1" x14ac:dyDescent="0.25">
      <c r="A32" s="146"/>
      <c r="B32" s="156" t="s">
        <v>160</v>
      </c>
    </row>
    <row r="33" spans="1:22" s="140" customFormat="1" x14ac:dyDescent="0.25">
      <c r="A33" s="155">
        <v>13.75</v>
      </c>
      <c r="B33" s="154" t="s">
        <v>159</v>
      </c>
      <c r="C33" s="153" t="s">
        <v>134</v>
      </c>
      <c r="D33" s="153">
        <f>(10*40*13.75)+(2*10*20.63)+87</f>
        <v>5999.6</v>
      </c>
      <c r="E33" s="153">
        <v>0</v>
      </c>
      <c r="F33" s="153">
        <v>0</v>
      </c>
      <c r="G33" s="153">
        <f>D33+E33+F33</f>
        <v>5999.6</v>
      </c>
      <c r="H33" s="153"/>
      <c r="I33" s="153">
        <f>G33*0.0765</f>
        <v>458.96940000000001</v>
      </c>
      <c r="J33" s="153"/>
      <c r="K33" s="153"/>
      <c r="L33" s="153"/>
      <c r="M33" s="153"/>
      <c r="N33" s="153"/>
      <c r="O33" s="153"/>
      <c r="P33" s="153"/>
      <c r="Q33" s="153">
        <f>SUM(G33:N33)</f>
        <v>6458.5694000000003</v>
      </c>
    </row>
    <row r="34" spans="1:22" s="140" customFormat="1" x14ac:dyDescent="0.25">
      <c r="A34" s="155" t="s">
        <v>201</v>
      </c>
      <c r="B34" s="154" t="s">
        <v>158</v>
      </c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>
        <v>500</v>
      </c>
      <c r="N34" s="153"/>
      <c r="O34" s="153"/>
      <c r="P34" s="153"/>
      <c r="Q34" s="153">
        <f>SUM(G34:N34)</f>
        <v>500</v>
      </c>
    </row>
    <row r="35" spans="1:22" s="140" customFormat="1" x14ac:dyDescent="0.25">
      <c r="A35" s="146"/>
      <c r="B35" s="152" t="s">
        <v>157</v>
      </c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0">
        <v>5000</v>
      </c>
      <c r="P35" s="151"/>
      <c r="Q35" s="150">
        <f>SUM(G35:O35)</f>
        <v>5000</v>
      </c>
      <c r="V35" s="149"/>
    </row>
    <row r="36" spans="1:22" s="140" customFormat="1" x14ac:dyDescent="0.25">
      <c r="A36" s="146"/>
      <c r="D36" s="148">
        <f t="shared" ref="D36:O36" si="3">SUM(D7:D35)</f>
        <v>343698.28</v>
      </c>
      <c r="E36" s="148">
        <f t="shared" si="3"/>
        <v>8748.8892800000012</v>
      </c>
      <c r="F36" s="148">
        <f t="shared" si="3"/>
        <v>-10816</v>
      </c>
      <c r="G36" s="148">
        <f t="shared" si="3"/>
        <v>336631.16927999997</v>
      </c>
      <c r="H36" s="148">
        <f t="shared" si="3"/>
        <v>7190.2640000000001</v>
      </c>
      <c r="I36" s="148">
        <f t="shared" si="3"/>
        <v>12962.09644992</v>
      </c>
      <c r="J36" s="148">
        <f t="shared" si="3"/>
        <v>34081.600000000006</v>
      </c>
      <c r="K36" s="148">
        <f t="shared" si="3"/>
        <v>2378</v>
      </c>
      <c r="L36" s="148">
        <f t="shared" si="3"/>
        <v>1255</v>
      </c>
      <c r="M36" s="148">
        <f t="shared" si="3"/>
        <v>5000</v>
      </c>
      <c r="N36" s="148">
        <f t="shared" si="3"/>
        <v>1200</v>
      </c>
      <c r="O36" s="140">
        <f t="shared" si="3"/>
        <v>5000</v>
      </c>
      <c r="P36" s="148"/>
      <c r="Q36" s="42">
        <f>SUM(Q7:Q35)</f>
        <v>405698.12972992007</v>
      </c>
      <c r="S36" s="140">
        <v>432200</v>
      </c>
      <c r="T36" s="140" t="s">
        <v>200</v>
      </c>
    </row>
    <row r="37" spans="1:22" s="140" customFormat="1" x14ac:dyDescent="0.25">
      <c r="A37" s="146"/>
      <c r="S37" s="147"/>
    </row>
    <row r="38" spans="1:22" s="140" customFormat="1" x14ac:dyDescent="0.25">
      <c r="A38" s="146" t="s">
        <v>156</v>
      </c>
      <c r="B38" t="s">
        <v>155</v>
      </c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S38" s="140">
        <v>345215</v>
      </c>
      <c r="T38" s="147" t="s">
        <v>208</v>
      </c>
    </row>
    <row r="40" spans="1:22" x14ac:dyDescent="0.25">
      <c r="A40" s="146" t="s">
        <v>130</v>
      </c>
      <c r="B40" t="s">
        <v>204</v>
      </c>
    </row>
    <row r="41" spans="1:22" x14ac:dyDescent="0.25">
      <c r="A41" s="146" t="s">
        <v>131</v>
      </c>
      <c r="B41" t="s">
        <v>205</v>
      </c>
    </row>
    <row r="42" spans="1:22" x14ac:dyDescent="0.25">
      <c r="A42" s="146" t="s">
        <v>134</v>
      </c>
      <c r="B42" t="s">
        <v>203</v>
      </c>
    </row>
    <row r="44" spans="1:22" x14ac:dyDescent="0.25">
      <c r="B44" t="s">
        <v>210</v>
      </c>
    </row>
  </sheetData>
  <pageMargins left="0.2" right="0.2" top="0" bottom="0" header="0.3" footer="0.3"/>
  <pageSetup scale="9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6B65B-C9D8-433B-BE73-8B9D6C3C9D16}">
  <dimension ref="A2:V47"/>
  <sheetViews>
    <sheetView workbookViewId="0">
      <selection activeCell="H35" sqref="H35"/>
    </sheetView>
  </sheetViews>
  <sheetFormatPr defaultColWidth="8.7109375" defaultRowHeight="15" x14ac:dyDescent="0.25"/>
  <cols>
    <col min="1" max="3" width="0.7109375" style="5" customWidth="1"/>
    <col min="4" max="6" width="1.7109375" style="5" customWidth="1"/>
    <col min="7" max="7" width="32" style="5" customWidth="1"/>
    <col min="8" max="8" width="11.85546875" style="87" bestFit="1" customWidth="1"/>
    <col min="9" max="9" width="10.85546875" bestFit="1" customWidth="1"/>
    <col min="10" max="10" width="11.5703125" bestFit="1" customWidth="1"/>
    <col min="11" max="11" width="9" bestFit="1" customWidth="1"/>
    <col min="12" max="12" width="11.85546875" bestFit="1" customWidth="1"/>
    <col min="16" max="18" width="11" bestFit="1" customWidth="1"/>
    <col min="19" max="19" width="2.140625" customWidth="1"/>
    <col min="20" max="20" width="36.85546875" bestFit="1" customWidth="1"/>
    <col min="21" max="22" width="1.5703125" bestFit="1" customWidth="1"/>
  </cols>
  <sheetData>
    <row r="2" spans="1:22" ht="15.75" customHeight="1" x14ac:dyDescent="0.25">
      <c r="A2" s="1"/>
      <c r="B2" s="1"/>
      <c r="C2" s="1"/>
      <c r="D2" s="1"/>
      <c r="E2" s="1"/>
      <c r="F2" s="1"/>
      <c r="G2" s="1"/>
      <c r="H2" s="224" t="s">
        <v>135</v>
      </c>
      <c r="I2" s="225"/>
      <c r="J2" s="225"/>
      <c r="K2" s="225"/>
      <c r="L2" s="226"/>
      <c r="M2" s="224" t="s">
        <v>136</v>
      </c>
      <c r="N2" s="225"/>
      <c r="O2" s="226"/>
      <c r="P2" s="227" t="s">
        <v>137</v>
      </c>
      <c r="Q2" s="228"/>
      <c r="R2" s="229"/>
      <c r="T2" s="202" t="s">
        <v>230</v>
      </c>
      <c r="U2" t="s">
        <v>264</v>
      </c>
      <c r="V2" t="s">
        <v>264</v>
      </c>
    </row>
    <row r="3" spans="1:22" ht="13.15" customHeight="1" x14ac:dyDescent="0.25">
      <c r="A3" s="1"/>
      <c r="B3" s="1"/>
      <c r="C3" s="1"/>
      <c r="D3" s="1"/>
      <c r="E3" s="1"/>
      <c r="F3" s="1"/>
      <c r="G3" s="1"/>
      <c r="H3" s="82" t="s">
        <v>130</v>
      </c>
      <c r="I3" s="28" t="s">
        <v>131</v>
      </c>
      <c r="J3" s="28" t="s">
        <v>134</v>
      </c>
      <c r="K3" s="28" t="s">
        <v>138</v>
      </c>
      <c r="L3" s="28" t="s">
        <v>142</v>
      </c>
      <c r="M3" s="43"/>
      <c r="O3" s="61"/>
      <c r="P3" s="28" t="s">
        <v>153</v>
      </c>
      <c r="Q3" s="28" t="s">
        <v>146</v>
      </c>
      <c r="R3" s="67" t="s">
        <v>145</v>
      </c>
      <c r="T3" s="16"/>
    </row>
    <row r="4" spans="1:22" ht="12" customHeight="1" x14ac:dyDescent="0.25">
      <c r="A4" s="1"/>
      <c r="B4" s="1"/>
      <c r="C4" s="1"/>
      <c r="D4" s="1"/>
      <c r="E4" s="1"/>
      <c r="F4" s="1"/>
      <c r="G4" s="1"/>
      <c r="H4" s="83" t="s">
        <v>132</v>
      </c>
      <c r="I4" s="83" t="s">
        <v>219</v>
      </c>
      <c r="J4" s="83" t="s">
        <v>219</v>
      </c>
      <c r="K4" s="83" t="s">
        <v>219</v>
      </c>
      <c r="L4" s="83" t="s">
        <v>219</v>
      </c>
      <c r="M4" s="44" t="s">
        <v>133</v>
      </c>
      <c r="N4" s="27" t="s">
        <v>143</v>
      </c>
      <c r="O4" s="62" t="s">
        <v>216</v>
      </c>
      <c r="P4" s="24" t="s">
        <v>218</v>
      </c>
      <c r="Q4" s="24" t="s">
        <v>218</v>
      </c>
      <c r="R4" s="68" t="s">
        <v>144</v>
      </c>
      <c r="T4" s="16"/>
    </row>
    <row r="5" spans="1:22" s="4" customFormat="1" ht="12" customHeight="1" x14ac:dyDescent="0.25">
      <c r="A5" s="3"/>
      <c r="B5" s="3"/>
      <c r="C5" s="3"/>
      <c r="D5" s="3"/>
      <c r="E5" s="3"/>
      <c r="F5" s="3"/>
      <c r="G5" s="3"/>
      <c r="H5" s="84" t="s">
        <v>211</v>
      </c>
      <c r="I5" s="25" t="s">
        <v>212</v>
      </c>
      <c r="J5" s="25" t="s">
        <v>213</v>
      </c>
      <c r="K5" s="25" t="s">
        <v>214</v>
      </c>
      <c r="L5" s="29" t="s">
        <v>215</v>
      </c>
      <c r="M5" s="45" t="s">
        <v>124</v>
      </c>
      <c r="N5" s="30" t="s">
        <v>124</v>
      </c>
      <c r="O5" s="63" t="s">
        <v>124</v>
      </c>
      <c r="P5" s="144" t="s">
        <v>144</v>
      </c>
      <c r="Q5" s="26" t="s">
        <v>217</v>
      </c>
      <c r="R5" s="63" t="s">
        <v>217</v>
      </c>
    </row>
    <row r="6" spans="1:22" ht="12.75" customHeight="1" x14ac:dyDescent="0.25">
      <c r="A6" s="1"/>
      <c r="B6" s="1" t="s">
        <v>0</v>
      </c>
      <c r="C6" s="1"/>
      <c r="D6" s="1"/>
      <c r="E6" s="1"/>
      <c r="F6" s="1"/>
      <c r="G6" s="1"/>
      <c r="H6" s="85"/>
      <c r="I6" s="6"/>
      <c r="J6" s="6"/>
      <c r="K6" s="6"/>
      <c r="L6" s="6"/>
      <c r="M6" s="46"/>
      <c r="N6" s="6"/>
      <c r="O6" s="64"/>
      <c r="P6" s="19"/>
      <c r="Q6" s="19"/>
      <c r="R6" s="64"/>
      <c r="T6" s="1"/>
      <c r="U6" s="1"/>
    </row>
    <row r="7" spans="1:22" ht="9" customHeight="1" x14ac:dyDescent="0.25">
      <c r="A7" s="1"/>
      <c r="B7" s="1"/>
      <c r="C7" s="1"/>
      <c r="D7" s="1"/>
      <c r="E7" s="1"/>
      <c r="F7" s="1"/>
      <c r="G7" s="1"/>
      <c r="H7" s="85"/>
      <c r="I7" s="6"/>
      <c r="J7" s="6"/>
      <c r="K7" s="6"/>
      <c r="L7" s="6"/>
      <c r="M7" s="47"/>
      <c r="N7" s="6"/>
      <c r="O7" s="65"/>
      <c r="P7" s="2"/>
      <c r="Q7" s="2"/>
      <c r="R7" s="65"/>
      <c r="T7" s="1"/>
      <c r="U7" s="2"/>
    </row>
    <row r="8" spans="1:22" ht="11.25" customHeight="1" x14ac:dyDescent="0.25">
      <c r="A8" s="1"/>
      <c r="B8" s="1"/>
      <c r="C8" s="1"/>
      <c r="D8" s="1" t="s">
        <v>1</v>
      </c>
      <c r="E8" s="1"/>
      <c r="F8" s="1"/>
      <c r="G8" s="1"/>
      <c r="H8" s="86"/>
      <c r="I8" s="48"/>
      <c r="J8" s="48"/>
      <c r="K8" s="48"/>
      <c r="L8" s="48"/>
      <c r="M8" s="49"/>
      <c r="N8" s="48"/>
      <c r="O8" s="66"/>
      <c r="P8" s="48"/>
      <c r="Q8" s="48"/>
      <c r="R8" s="66"/>
      <c r="T8" s="1"/>
      <c r="U8" s="2"/>
    </row>
    <row r="9" spans="1:22" ht="14.65" customHeight="1" x14ac:dyDescent="0.25">
      <c r="A9" s="1"/>
      <c r="B9" s="1"/>
      <c r="C9" s="1"/>
      <c r="D9" s="1"/>
      <c r="E9" s="1" t="s">
        <v>2</v>
      </c>
      <c r="F9" s="1"/>
      <c r="G9" s="1"/>
      <c r="H9" s="85"/>
      <c r="I9" s="2"/>
      <c r="J9" s="2"/>
      <c r="K9" s="2"/>
      <c r="L9" s="2"/>
      <c r="M9" s="50"/>
      <c r="N9" s="2"/>
      <c r="O9" s="65"/>
      <c r="P9" s="2"/>
      <c r="Q9" s="2"/>
      <c r="R9" s="65"/>
      <c r="T9" s="1"/>
      <c r="U9" s="2"/>
    </row>
    <row r="10" spans="1:22" ht="14.65" customHeight="1" thickBot="1" x14ac:dyDescent="0.3">
      <c r="A10" s="1"/>
      <c r="B10" s="69"/>
      <c r="C10" s="69"/>
      <c r="D10" s="69"/>
      <c r="E10" s="69"/>
      <c r="F10" s="214" t="s">
        <v>6</v>
      </c>
      <c r="G10" s="215"/>
      <c r="H10" s="137">
        <v>28300</v>
      </c>
      <c r="I10" s="198">
        <v>3200</v>
      </c>
      <c r="J10" s="198">
        <v>3200</v>
      </c>
      <c r="K10" s="198">
        <v>3200</v>
      </c>
      <c r="L10" s="217">
        <f t="shared" ref="L10" si="0">SUM(H10:K10)</f>
        <v>37900</v>
      </c>
      <c r="M10" s="91">
        <v>35900</v>
      </c>
      <c r="N10" s="92">
        <v>37900</v>
      </c>
      <c r="O10" s="93">
        <f>(1600*2*2)+(1750*2*10)</f>
        <v>41400</v>
      </c>
      <c r="P10" s="143">
        <f t="shared" ref="P10" si="1">N10-L10</f>
        <v>0</v>
      </c>
      <c r="Q10" s="131">
        <f>O10-L10</f>
        <v>3500</v>
      </c>
      <c r="R10" s="132">
        <f>O10-N10</f>
        <v>3500</v>
      </c>
      <c r="T10" s="81" t="s">
        <v>265</v>
      </c>
      <c r="U10" s="2"/>
    </row>
    <row r="11" spans="1:22" ht="14.65" customHeight="1" thickBot="1" x14ac:dyDescent="0.3">
      <c r="A11" s="1"/>
      <c r="B11" s="71"/>
      <c r="C11" s="71"/>
      <c r="D11" s="71"/>
      <c r="E11" s="71" t="s">
        <v>7</v>
      </c>
      <c r="F11" s="71"/>
      <c r="G11" s="72"/>
      <c r="H11" s="51">
        <f t="shared" ref="H11:R11" si="2">ROUND(SUM(H10:H10),5)</f>
        <v>28300</v>
      </c>
      <c r="I11" s="33">
        <f t="shared" si="2"/>
        <v>3200</v>
      </c>
      <c r="J11" s="33">
        <f t="shared" si="2"/>
        <v>3200</v>
      </c>
      <c r="K11" s="33">
        <f t="shared" si="2"/>
        <v>3200</v>
      </c>
      <c r="L11" s="96">
        <f t="shared" si="2"/>
        <v>37900</v>
      </c>
      <c r="M11" s="95">
        <f t="shared" si="2"/>
        <v>35900</v>
      </c>
      <c r="N11" s="96">
        <f t="shared" si="2"/>
        <v>37900</v>
      </c>
      <c r="O11" s="97">
        <f t="shared" si="2"/>
        <v>41400</v>
      </c>
      <c r="P11" s="112">
        <f t="shared" si="2"/>
        <v>0</v>
      </c>
      <c r="Q11" s="96">
        <f t="shared" si="2"/>
        <v>3500</v>
      </c>
      <c r="R11" s="97">
        <f t="shared" si="2"/>
        <v>3500</v>
      </c>
      <c r="T11" s="81"/>
      <c r="U11" s="2"/>
    </row>
    <row r="12" spans="1:22" ht="14.65" customHeight="1" thickBot="1" x14ac:dyDescent="0.3">
      <c r="A12" s="1"/>
      <c r="B12" s="73"/>
      <c r="C12" s="73"/>
      <c r="D12" s="73" t="s">
        <v>8</v>
      </c>
      <c r="E12" s="73"/>
      <c r="F12" s="73"/>
      <c r="G12" s="74"/>
      <c r="H12" s="52">
        <f>ROUND(H11,5)</f>
        <v>28300</v>
      </c>
      <c r="I12" s="34">
        <f t="shared" ref="I12:O12" si="3">ROUND(I11,5)</f>
        <v>3200</v>
      </c>
      <c r="J12" s="34">
        <f t="shared" si="3"/>
        <v>3200</v>
      </c>
      <c r="K12" s="34">
        <f t="shared" si="3"/>
        <v>3200</v>
      </c>
      <c r="L12" s="223">
        <f>ROUND(L11,5)</f>
        <v>37900</v>
      </c>
      <c r="M12" s="98">
        <f t="shared" si="3"/>
        <v>35900</v>
      </c>
      <c r="N12" s="99">
        <f t="shared" si="3"/>
        <v>37900</v>
      </c>
      <c r="O12" s="223">
        <f t="shared" si="3"/>
        <v>41400</v>
      </c>
      <c r="P12" s="99">
        <f>ROUND(P11,5)</f>
        <v>0</v>
      </c>
      <c r="Q12" s="99">
        <f t="shared" ref="Q12:R12" si="4">ROUND(Q11,5)</f>
        <v>3500</v>
      </c>
      <c r="R12" s="223">
        <f t="shared" si="4"/>
        <v>3500</v>
      </c>
      <c r="T12" s="81"/>
      <c r="U12" s="2"/>
    </row>
    <row r="13" spans="1:22" ht="17.25" customHeight="1" x14ac:dyDescent="0.25">
      <c r="A13" s="1"/>
      <c r="B13" s="1"/>
      <c r="C13" s="1"/>
      <c r="D13" s="1" t="s">
        <v>9</v>
      </c>
      <c r="E13" s="1"/>
      <c r="F13" s="1"/>
      <c r="G13" s="1"/>
      <c r="H13" s="53"/>
      <c r="I13" s="35"/>
      <c r="J13" s="35"/>
      <c r="K13" s="35"/>
      <c r="L13" s="102"/>
      <c r="M13" s="101"/>
      <c r="N13" s="102"/>
      <c r="O13" s="103"/>
      <c r="P13" s="102"/>
      <c r="Q13" s="102"/>
      <c r="R13" s="103"/>
      <c r="T13" s="81"/>
      <c r="U13" s="2"/>
    </row>
    <row r="14" spans="1:22" ht="14.65" customHeight="1" x14ac:dyDescent="0.25">
      <c r="A14" s="1"/>
      <c r="B14" s="1"/>
      <c r="C14" s="1"/>
      <c r="D14" s="1"/>
      <c r="E14" s="1" t="s">
        <v>10</v>
      </c>
      <c r="F14" s="1"/>
      <c r="G14" s="1"/>
      <c r="H14" s="53"/>
      <c r="I14" s="35"/>
      <c r="J14" s="35"/>
      <c r="K14" s="35"/>
      <c r="L14" s="102"/>
      <c r="M14" s="101"/>
      <c r="N14" s="102"/>
      <c r="O14" s="103"/>
      <c r="P14" s="102"/>
      <c r="Q14" s="102"/>
      <c r="R14" s="103"/>
      <c r="T14" s="81"/>
      <c r="U14" s="2"/>
    </row>
    <row r="15" spans="1:22" ht="14.65" customHeight="1" x14ac:dyDescent="0.25">
      <c r="A15" s="1"/>
      <c r="B15" s="1"/>
      <c r="C15" s="1"/>
      <c r="D15" s="1"/>
      <c r="E15" s="1"/>
      <c r="F15" s="1" t="s">
        <v>11</v>
      </c>
      <c r="G15" s="1"/>
      <c r="H15" s="53"/>
      <c r="I15" s="35"/>
      <c r="J15" s="35"/>
      <c r="K15" s="35"/>
      <c r="L15" s="102"/>
      <c r="M15" s="101"/>
      <c r="N15" s="102"/>
      <c r="O15" s="103"/>
      <c r="P15" s="102"/>
      <c r="Q15" s="102"/>
      <c r="R15" s="103"/>
      <c r="T15" s="32"/>
      <c r="U15" s="2"/>
    </row>
    <row r="16" spans="1:22" ht="14.65" customHeight="1" x14ac:dyDescent="0.25">
      <c r="A16" s="1"/>
      <c r="B16" s="1"/>
      <c r="C16" s="1"/>
      <c r="D16" s="1"/>
      <c r="E16" s="1"/>
      <c r="F16" s="1"/>
      <c r="G16" s="213" t="s">
        <v>100</v>
      </c>
      <c r="H16" s="137">
        <v>1356.74</v>
      </c>
      <c r="I16" s="198">
        <v>146.80000000000001</v>
      </c>
      <c r="J16" s="198">
        <v>146.80000000000001</v>
      </c>
      <c r="K16" s="198">
        <v>146.80000000000001</v>
      </c>
      <c r="L16" s="216">
        <f t="shared" ref="L16:L18" si="5">SUM(H16:K16)</f>
        <v>1797.1399999999999</v>
      </c>
      <c r="M16" s="104">
        <v>1600</v>
      </c>
      <c r="N16" s="92">
        <v>1800</v>
      </c>
      <c r="O16" s="93">
        <v>1800</v>
      </c>
      <c r="P16" s="142">
        <f t="shared" ref="P16:P18" si="6">N16-L16</f>
        <v>2.8600000000001273</v>
      </c>
      <c r="Q16" s="131">
        <f t="shared" ref="Q16:Q18" si="7">O16-L16</f>
        <v>2.8600000000001273</v>
      </c>
      <c r="R16" s="132">
        <f t="shared" ref="R16:R18" si="8">O16-N16</f>
        <v>0</v>
      </c>
      <c r="T16" s="32"/>
      <c r="U16" s="2"/>
    </row>
    <row r="17" spans="1:21" ht="14.65" customHeight="1" x14ac:dyDescent="0.25">
      <c r="A17" s="1"/>
      <c r="B17" s="1"/>
      <c r="C17" s="1"/>
      <c r="D17" s="1"/>
      <c r="E17" s="1"/>
      <c r="F17" s="1"/>
      <c r="G17" s="213" t="s">
        <v>21</v>
      </c>
      <c r="H17" s="137">
        <v>2183.23</v>
      </c>
      <c r="I17" s="198">
        <v>0</v>
      </c>
      <c r="J17" s="198">
        <v>992.98</v>
      </c>
      <c r="K17" s="198">
        <v>3000</v>
      </c>
      <c r="L17" s="216">
        <f t="shared" si="5"/>
        <v>6176.21</v>
      </c>
      <c r="M17" s="104">
        <v>2500</v>
      </c>
      <c r="N17" s="92">
        <v>3000</v>
      </c>
      <c r="O17" s="93">
        <v>5000</v>
      </c>
      <c r="P17" s="142">
        <f t="shared" si="6"/>
        <v>-3176.21</v>
      </c>
      <c r="Q17" s="131">
        <f t="shared" si="7"/>
        <v>-1176.21</v>
      </c>
      <c r="R17" s="132">
        <f t="shared" si="8"/>
        <v>2000</v>
      </c>
      <c r="T17" s="32"/>
      <c r="U17" s="2"/>
    </row>
    <row r="18" spans="1:21" ht="14.65" customHeight="1" thickBot="1" x14ac:dyDescent="0.3">
      <c r="A18" s="1"/>
      <c r="B18" s="1"/>
      <c r="C18" s="1"/>
      <c r="D18" s="1"/>
      <c r="E18" s="1"/>
      <c r="F18" s="1"/>
      <c r="G18" s="213" t="s">
        <v>22</v>
      </c>
      <c r="H18" s="137">
        <v>700</v>
      </c>
      <c r="I18" s="198">
        <v>0</v>
      </c>
      <c r="J18" s="198">
        <f>5016+5333</f>
        <v>10349</v>
      </c>
      <c r="K18" s="198">
        <v>0</v>
      </c>
      <c r="L18" s="216">
        <f t="shared" si="5"/>
        <v>11049</v>
      </c>
      <c r="M18" s="104">
        <v>7750</v>
      </c>
      <c r="N18" s="92">
        <v>7000</v>
      </c>
      <c r="O18" s="93">
        <f>5000+5500</f>
        <v>10500</v>
      </c>
      <c r="P18" s="142">
        <f t="shared" si="6"/>
        <v>-4049</v>
      </c>
      <c r="Q18" s="131">
        <f t="shared" si="7"/>
        <v>-549</v>
      </c>
      <c r="R18" s="132">
        <f t="shared" si="8"/>
        <v>3500</v>
      </c>
      <c r="T18" s="32" t="s">
        <v>254</v>
      </c>
      <c r="U18" s="2"/>
    </row>
    <row r="19" spans="1:21" ht="14.65" customHeight="1" thickBot="1" x14ac:dyDescent="0.3">
      <c r="A19" s="1"/>
      <c r="B19" s="18"/>
      <c r="C19" s="18"/>
      <c r="D19" s="18"/>
      <c r="E19" s="18"/>
      <c r="F19" s="18" t="s">
        <v>25</v>
      </c>
      <c r="G19" s="18"/>
      <c r="H19" s="54">
        <f t="shared" ref="H19:R19" si="9">ROUND(SUM(H15:H18),5)</f>
        <v>4239.97</v>
      </c>
      <c r="I19" s="36">
        <f t="shared" si="9"/>
        <v>146.80000000000001</v>
      </c>
      <c r="J19" s="36">
        <f t="shared" si="9"/>
        <v>11488.78</v>
      </c>
      <c r="K19" s="36">
        <f t="shared" si="9"/>
        <v>3146.8</v>
      </c>
      <c r="L19" s="97">
        <f t="shared" si="9"/>
        <v>19022.349999999999</v>
      </c>
      <c r="M19" s="108">
        <f t="shared" si="9"/>
        <v>11850</v>
      </c>
      <c r="N19" s="109">
        <f t="shared" si="9"/>
        <v>11800</v>
      </c>
      <c r="O19" s="97">
        <f t="shared" si="9"/>
        <v>17300</v>
      </c>
      <c r="P19" s="109">
        <f t="shared" si="9"/>
        <v>-7222.35</v>
      </c>
      <c r="Q19" s="109">
        <f t="shared" si="9"/>
        <v>-1722.35</v>
      </c>
      <c r="R19" s="97">
        <f t="shared" si="9"/>
        <v>5500</v>
      </c>
      <c r="T19" s="32"/>
      <c r="U19" s="2"/>
    </row>
    <row r="20" spans="1:21" ht="14.65" customHeight="1" thickBot="1" x14ac:dyDescent="0.3">
      <c r="A20" s="1"/>
      <c r="B20" s="79"/>
      <c r="C20" s="79"/>
      <c r="D20" s="79" t="s">
        <v>83</v>
      </c>
      <c r="E20" s="79"/>
      <c r="F20" s="79"/>
      <c r="G20" s="80"/>
      <c r="H20" s="59">
        <f>+H19</f>
        <v>4239.97</v>
      </c>
      <c r="I20" s="59">
        <f>+I19</f>
        <v>146.80000000000001</v>
      </c>
      <c r="J20" s="59">
        <f>+J19</f>
        <v>11488.78</v>
      </c>
      <c r="K20" s="59">
        <f>+K19</f>
        <v>3146.8</v>
      </c>
      <c r="L20" s="223">
        <f>+L19</f>
        <v>19022.349999999999</v>
      </c>
      <c r="M20" s="124">
        <f t="shared" ref="M20:R20" si="10">+M19</f>
        <v>11850</v>
      </c>
      <c r="N20" s="125">
        <f t="shared" si="10"/>
        <v>11800</v>
      </c>
      <c r="O20" s="223">
        <f t="shared" si="10"/>
        <v>17300</v>
      </c>
      <c r="P20" s="125">
        <f t="shared" si="10"/>
        <v>-7222.35</v>
      </c>
      <c r="Q20" s="125">
        <f t="shared" si="10"/>
        <v>-1722.35</v>
      </c>
      <c r="R20" s="223">
        <f t="shared" si="10"/>
        <v>5500</v>
      </c>
      <c r="T20" s="5"/>
    </row>
    <row r="21" spans="1:21" ht="16.149999999999999" customHeight="1" thickTop="1" thickBot="1" x14ac:dyDescent="0.3">
      <c r="A21" s="1"/>
      <c r="B21" s="8" t="s">
        <v>84</v>
      </c>
      <c r="C21" s="8"/>
      <c r="D21" s="8"/>
      <c r="E21" s="8"/>
      <c r="F21" s="8"/>
      <c r="G21" s="8"/>
      <c r="H21" s="218">
        <f t="shared" ref="H21:R21" si="11">H12-H20</f>
        <v>24060.03</v>
      </c>
      <c r="I21" s="219">
        <f t="shared" si="11"/>
        <v>3053.2</v>
      </c>
      <c r="J21" s="219">
        <f t="shared" si="11"/>
        <v>-8288.7800000000007</v>
      </c>
      <c r="K21" s="219">
        <f t="shared" si="11"/>
        <v>53.199999999999818</v>
      </c>
      <c r="L21" s="222">
        <f t="shared" si="11"/>
        <v>18877.650000000001</v>
      </c>
      <c r="M21" s="220">
        <f t="shared" si="11"/>
        <v>24050</v>
      </c>
      <c r="N21" s="221">
        <f t="shared" si="11"/>
        <v>26100</v>
      </c>
      <c r="O21" s="222">
        <f t="shared" si="11"/>
        <v>24100</v>
      </c>
      <c r="P21" s="221">
        <f t="shared" si="11"/>
        <v>7222.35</v>
      </c>
      <c r="Q21" s="221">
        <f t="shared" si="11"/>
        <v>5222.3500000000004</v>
      </c>
      <c r="R21" s="222">
        <f t="shared" si="11"/>
        <v>-2000</v>
      </c>
      <c r="T21" s="1"/>
    </row>
    <row r="22" spans="1:21" ht="14.65" customHeight="1" thickTop="1" x14ac:dyDescent="0.25">
      <c r="H22" s="139"/>
      <c r="I22" s="139"/>
      <c r="J22" s="139"/>
      <c r="K22" s="139"/>
      <c r="L22" s="130"/>
      <c r="M22" s="130"/>
      <c r="N22" s="130"/>
      <c r="O22" s="130"/>
      <c r="P22" s="130"/>
      <c r="Q22" s="130"/>
      <c r="R22" s="130"/>
    </row>
    <row r="23" spans="1:21" ht="14.65" customHeight="1" x14ac:dyDescent="0.25">
      <c r="H23" s="140"/>
      <c r="I23" s="140"/>
      <c r="J23" s="140"/>
      <c r="K23" s="140"/>
      <c r="L23" s="140"/>
      <c r="M23" s="140"/>
      <c r="N23" s="140"/>
      <c r="O23" s="140"/>
      <c r="P23" s="141"/>
      <c r="Q23" s="141"/>
      <c r="R23" s="141"/>
    </row>
    <row r="24" spans="1:21" ht="14.65" customHeight="1" x14ac:dyDescent="0.25">
      <c r="I24" s="88"/>
      <c r="J24" s="87"/>
      <c r="K24" s="88"/>
      <c r="L24" s="7"/>
      <c r="M24" s="89"/>
      <c r="N24" s="89"/>
      <c r="O24" s="89"/>
      <c r="P24" s="141"/>
      <c r="Q24" s="141"/>
      <c r="R24" s="141"/>
    </row>
    <row r="25" spans="1:21" ht="14.65" customHeight="1" x14ac:dyDescent="0.25">
      <c r="I25" s="88"/>
      <c r="J25" s="87"/>
      <c r="K25" s="88"/>
      <c r="L25" s="7"/>
      <c r="M25" s="7"/>
      <c r="N25" s="7"/>
      <c r="P25" s="141"/>
      <c r="Q25" s="141"/>
      <c r="R25" s="141"/>
    </row>
    <row r="26" spans="1:21" ht="14.65" customHeight="1" x14ac:dyDescent="0.25">
      <c r="I26" s="88"/>
      <c r="J26" s="87"/>
      <c r="K26" s="88"/>
      <c r="L26" s="7"/>
      <c r="M26" s="7"/>
      <c r="N26" s="7"/>
      <c r="P26" s="141"/>
      <c r="Q26" s="141"/>
      <c r="R26" s="141"/>
    </row>
    <row r="27" spans="1:21" ht="14.65" customHeight="1" x14ac:dyDescent="0.25">
      <c r="I27" s="88"/>
      <c r="J27" s="87"/>
      <c r="K27" s="88"/>
      <c r="L27" s="7"/>
      <c r="M27" s="7"/>
      <c r="N27" s="7"/>
      <c r="P27" s="141"/>
      <c r="Q27" s="141"/>
      <c r="R27" s="141"/>
    </row>
    <row r="28" spans="1:21" ht="14.65" customHeight="1" x14ac:dyDescent="0.25">
      <c r="E28" s="13"/>
      <c r="G28" s="10"/>
      <c r="I28" s="88"/>
      <c r="J28" s="87"/>
      <c r="K28" s="88"/>
      <c r="Q28" s="89"/>
      <c r="R28" s="89"/>
    </row>
    <row r="29" spans="1:21" ht="14.65" customHeight="1" x14ac:dyDescent="0.25">
      <c r="I29" s="88"/>
      <c r="J29" s="87"/>
      <c r="K29" s="88"/>
      <c r="Q29" s="89"/>
      <c r="R29" s="89"/>
    </row>
    <row r="30" spans="1:21" ht="14.65" customHeight="1" x14ac:dyDescent="0.25">
      <c r="I30" s="88"/>
      <c r="J30" s="87"/>
      <c r="K30" s="88"/>
      <c r="Q30" s="89"/>
      <c r="R30" s="89"/>
    </row>
    <row r="31" spans="1:21" ht="14.65" customHeight="1" x14ac:dyDescent="0.25">
      <c r="I31" s="88"/>
      <c r="J31" s="87"/>
      <c r="K31" s="88"/>
      <c r="Q31" s="89"/>
      <c r="R31" s="89"/>
    </row>
    <row r="32" spans="1:21" ht="14.65" customHeight="1" x14ac:dyDescent="0.25">
      <c r="E32" s="15"/>
      <c r="I32" s="88"/>
      <c r="J32" s="87"/>
      <c r="K32" s="88"/>
      <c r="Q32" s="89"/>
      <c r="R32" s="89"/>
    </row>
    <row r="33" spans="6:18" ht="14.65" customHeight="1" x14ac:dyDescent="0.25">
      <c r="I33" s="88"/>
      <c r="J33" s="87"/>
      <c r="K33" s="88"/>
      <c r="Q33" s="89"/>
      <c r="R33" s="89"/>
    </row>
    <row r="34" spans="6:18" ht="14.65" customHeight="1" x14ac:dyDescent="0.25">
      <c r="G34" s="14"/>
      <c r="J34" s="87"/>
      <c r="K34" s="88"/>
      <c r="Q34" s="89"/>
      <c r="R34" s="89"/>
    </row>
    <row r="35" spans="6:18" ht="14.65" customHeight="1" x14ac:dyDescent="0.25">
      <c r="G35" s="14"/>
      <c r="J35" s="87"/>
      <c r="K35" s="88"/>
    </row>
    <row r="36" spans="6:18" ht="14.65" customHeight="1" x14ac:dyDescent="0.25">
      <c r="G36" s="14"/>
      <c r="J36" s="87"/>
      <c r="K36" s="88"/>
    </row>
    <row r="37" spans="6:18" ht="14.65" customHeight="1" x14ac:dyDescent="0.25">
      <c r="G37" s="14"/>
      <c r="J37" s="87"/>
      <c r="K37" s="88"/>
    </row>
    <row r="38" spans="6:18" ht="14.65" customHeight="1" x14ac:dyDescent="0.25">
      <c r="G38" s="14"/>
      <c r="J38" s="87"/>
    </row>
    <row r="39" spans="6:18" ht="14.65" customHeight="1" x14ac:dyDescent="0.25">
      <c r="G39" s="14"/>
      <c r="J39" s="87"/>
    </row>
    <row r="40" spans="6:18" ht="14.65" customHeight="1" x14ac:dyDescent="0.25">
      <c r="J40" s="87"/>
    </row>
    <row r="41" spans="6:18" ht="14.65" customHeight="1" x14ac:dyDescent="0.25">
      <c r="G41" s="14"/>
      <c r="J41" s="87"/>
    </row>
    <row r="47" spans="6:18" x14ac:dyDescent="0.25">
      <c r="F47" s="13"/>
    </row>
  </sheetData>
  <mergeCells count="3">
    <mergeCell ref="H2:L2"/>
    <mergeCell ref="M2:O2"/>
    <mergeCell ref="P2:R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2026</vt:lpstr>
      <vt:lpstr>2026-Payroll</vt:lpstr>
      <vt:lpstr>2025-Payroll</vt:lpstr>
      <vt:lpstr>RentalProperty</vt:lpstr>
      <vt:lpstr>'2025-Payroll'!Print_Area</vt:lpstr>
      <vt:lpstr>'2026'!Print_Area</vt:lpstr>
      <vt:lpstr>'2026-Payroll'!Print_Area</vt:lpstr>
      <vt:lpstr>'2025-Payroll'!Print_Titles</vt:lpstr>
      <vt:lpstr>'2026'!Print_Titles</vt:lpstr>
      <vt:lpstr>'2026-Payroll'!Print_Titles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Jeannie Britzmann</dc:creator>
  <cp:lastModifiedBy>Blackford, Bret B.</cp:lastModifiedBy>
  <cp:lastPrinted>2025-11-17T21:56:31Z</cp:lastPrinted>
  <dcterms:created xsi:type="dcterms:W3CDTF">2014-09-05T18:36:36Z</dcterms:created>
  <dcterms:modified xsi:type="dcterms:W3CDTF">2025-11-19T14:57:09Z</dcterms:modified>
</cp:coreProperties>
</file>